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3" activeTab="4"/>
  </bookViews>
  <sheets>
    <sheet name="LOT 1" sheetId="1" r:id="rId1"/>
    <sheet name="LOT 2" sheetId="2" r:id="rId2"/>
    <sheet name="LOT 3" sheetId="3" r:id="rId3"/>
    <sheet name="LOT 4" sheetId="4" r:id="rId4"/>
    <sheet name="LOT 4 bis" sheetId="5" r:id="rId5"/>
    <sheet name="Total" sheetId="6" r:id="rId6"/>
  </sheets>
  <definedNames>
    <definedName name="_xlnm.Print_Titles" localSheetId="0">'LOT 1'!$A:$C</definedName>
    <definedName name="_xlnm.Print_Titles" localSheetId="1">'LOT 2'!$A:$C</definedName>
    <definedName name="_xlnm.Print_Titles" localSheetId="2">'LOT 3'!$A:$C</definedName>
    <definedName name="_xlnm.Print_Titles" localSheetId="3">'LOT 4'!$A:$C</definedName>
    <definedName name="_xlnm.Print_Titles" localSheetId="4">'LOT 4 bis'!$A:$C</definedName>
    <definedName name="_xlnm.Print_Area" localSheetId="4">'LOT 4 bis'!$A$1:$L$43</definedName>
  </definedNames>
  <calcPr fullCalcOnLoad="1"/>
</workbook>
</file>

<file path=xl/sharedStrings.xml><?xml version="1.0" encoding="utf-8"?>
<sst xmlns="http://schemas.openxmlformats.org/spreadsheetml/2006/main" count="319" uniqueCount="146">
  <si>
    <t>méthodologie</t>
  </si>
  <si>
    <t>qualification</t>
  </si>
  <si>
    <t>planning</t>
  </si>
  <si>
    <t>Prix de l'offre HT</t>
  </si>
  <si>
    <t xml:space="preserve">TVA de l'offre </t>
  </si>
  <si>
    <t>Prix de l'offre TTC</t>
  </si>
  <si>
    <t>PRIX</t>
  </si>
  <si>
    <t>Note non pondérée
(30%)</t>
  </si>
  <si>
    <t>Note Pondérée
(30%)</t>
  </si>
  <si>
    <t>Mémoire
technique</t>
  </si>
  <si>
    <t>Références
identiques</t>
  </si>
  <si>
    <t>Visite</t>
  </si>
  <si>
    <t>type de rapport remis
(1 point)</t>
  </si>
  <si>
    <t>moyens humains
(1 point)</t>
  </si>
  <si>
    <t>qualifications
(1 point)</t>
  </si>
  <si>
    <t>certif.Visites
(0,5 point)</t>
  </si>
  <si>
    <t>TOTAL POINTS
Mémoire Technique</t>
  </si>
  <si>
    <t>NOTE pondérée (30%)
Mémoire technique</t>
  </si>
  <si>
    <t>N° Enveloppe: 3</t>
  </si>
  <si>
    <t>N° Enveloppe: 4</t>
  </si>
  <si>
    <t>N° Enveloppe: 5</t>
  </si>
  <si>
    <t>N° Enveloppe: 6</t>
  </si>
  <si>
    <t>N° Enveloppe: 7</t>
  </si>
  <si>
    <t>N° Enveloppe: 9</t>
  </si>
  <si>
    <t>N° Enveloppe: 10</t>
  </si>
  <si>
    <t>N° Enveloppe: 12</t>
  </si>
  <si>
    <t>Euros TTC</t>
  </si>
  <si>
    <t>TOTAL TRANCHE FERME LOT 1 (ESTIMATION)</t>
  </si>
  <si>
    <t>TOTAL TRANCHE OPTIONNELLE LOT 1 (ESTIMATION)</t>
  </si>
  <si>
    <t>TOTAL TRANCHE FERME LOT 2 (ESTIMATION)</t>
  </si>
  <si>
    <t>TOTAL TRANCHE OPTIONNELLE LOT 2 (ESTIMATION)</t>
  </si>
  <si>
    <t>TOTAL TRANCHE FERME LOT 3 (ESTIMATION)</t>
  </si>
  <si>
    <t>TOTAL TRANCHE OPTIONNELLE LOT 3 (ESTIMATION)</t>
  </si>
  <si>
    <t>TOTAL TRANCHE FERME LOT 4 (ESTIMATION)</t>
  </si>
  <si>
    <t>TOTAL TRANCHE OPTIONNELLE LOT 4 (ESTIMATION)</t>
  </si>
  <si>
    <t>TF</t>
  </si>
  <si>
    <t>OPTION</t>
  </si>
  <si>
    <t>Classement  TF + Option</t>
  </si>
  <si>
    <t>Classement TF ou OPTION</t>
  </si>
  <si>
    <t>note  pondérée (40%)
TF + OPTION</t>
  </si>
  <si>
    <t>note  pondérée (40%)  TF</t>
  </si>
  <si>
    <t>total note ponderée TF</t>
  </si>
  <si>
    <t>total note ponderée TF + OPTIONS</t>
  </si>
  <si>
    <t>ENTREPRISE: ENETECH</t>
  </si>
  <si>
    <t>ENTREPRISE: VERITAS</t>
  </si>
  <si>
    <t>ENTREPRISE: ECO SERVICE</t>
  </si>
  <si>
    <t>Note non pondérée
(30%) 1 à 3</t>
  </si>
  <si>
    <t>ENTREPRISE: ALEO Ingénieurie</t>
  </si>
  <si>
    <t>ENTREPRISE: H3C</t>
  </si>
  <si>
    <t>ENTREPRISE: SARL OGTE Expert home</t>
  </si>
  <si>
    <t>ENTREPRISE: SOCOTEC</t>
  </si>
  <si>
    <t>total note ponderée TF sur 10</t>
  </si>
  <si>
    <t>HEURES</t>
  </si>
  <si>
    <t>Nbr d'heures</t>
  </si>
  <si>
    <t>N° Enveloppe:  3</t>
  </si>
  <si>
    <t>references 
(0,5 point)</t>
  </si>
  <si>
    <t>total note ponderée TF (base 10)</t>
  </si>
  <si>
    <t>note  pondérée (40%)  TF base 4</t>
  </si>
  <si>
    <t>note  pondérée (40%) base 4
TF + OPTION</t>
  </si>
  <si>
    <t>Note non pondérée base 3
(30%)</t>
  </si>
  <si>
    <t>Note Pondérée base 3
(30%)</t>
  </si>
  <si>
    <t>Compétences
et
références</t>
  </si>
  <si>
    <t>ENTREPRISE: ECO'SERVICE</t>
  </si>
  <si>
    <t>ENTREPRISE: ALEO</t>
  </si>
  <si>
    <t>N° Enveloppe:  7</t>
  </si>
  <si>
    <t>ENTREPRISE:H3C énergies</t>
  </si>
  <si>
    <t>ENTREPRISE: OGTE Expert Home</t>
  </si>
  <si>
    <t>type de matériel utilisé
(0,5 point)</t>
  </si>
  <si>
    <t>type de rapport remis
(0,5 point)</t>
  </si>
  <si>
    <t>économiste
(0,5 point)</t>
  </si>
  <si>
    <t>ingénieur thermicien
(1,5 point)</t>
  </si>
  <si>
    <t>planning type
(0,5 point)</t>
  </si>
  <si>
    <t>planning prévisionnel
(0,5 point)</t>
  </si>
  <si>
    <t>note  pondérée (40%)  TF
(Prix = (A / X)*4</t>
  </si>
  <si>
    <t>note  pondérée (40%)
TF + OPTION
(Prix = (A / X)*4</t>
  </si>
  <si>
    <t>TOTAL POINTS
Mémoire Technique (base 10)</t>
  </si>
  <si>
    <t>NOTE pondérée (30%)
Mémoire technique (base 3)</t>
  </si>
  <si>
    <t>OPTIONS</t>
  </si>
  <si>
    <t>méthode de reccueil des données et heures ( si H 60&lt;h  moy 71 h (-2 points si h&lt;60 (15% de 71)) (extrèmes pas pris en compte)
(3 point)</t>
  </si>
  <si>
    <t>total note ponderée TF + OPTIONS sur 10</t>
  </si>
  <si>
    <t>ENTREPRISE: AIR VISION</t>
  </si>
  <si>
    <t>N° Enveloppe:  1</t>
  </si>
  <si>
    <t>ingénieur thermicien
(0,5 point)</t>
  </si>
  <si>
    <t>references 
(1 point)</t>
  </si>
  <si>
    <t>ENTREPRISE:ALNAGA</t>
  </si>
  <si>
    <t>N° Enveloppe:  2</t>
  </si>
  <si>
    <t>?</t>
  </si>
  <si>
    <t>ENTREPRISE:OGTE</t>
  </si>
  <si>
    <t>N° Enveloppe:  10</t>
  </si>
  <si>
    <t>N° Enveloppe:  12</t>
  </si>
  <si>
    <t>méthode de reccueil 
des données
et heures =-15% moy(?h)
(3 point)</t>
  </si>
  <si>
    <r>
      <t xml:space="preserve">Nbr d'heuresTF </t>
    </r>
    <r>
      <rPr>
        <sz val="14"/>
        <rFont val="Arial"/>
        <family val="2"/>
      </rPr>
      <t xml:space="preserve">+ </t>
    </r>
    <r>
      <rPr>
        <sz val="10"/>
        <rFont val="Arial"/>
        <family val="2"/>
      </rPr>
      <t>OPTIONS</t>
    </r>
  </si>
  <si>
    <t>Nbr d'heuresTF ou OPTIONS</t>
  </si>
  <si>
    <t>NON CONFORME</t>
  </si>
  <si>
    <t>méthode de reccueil 
des données
et heures =-15% moy(152h)
Si H&lt;130  points = -2
(3 point)</t>
  </si>
  <si>
    <t>Nbr d'heures  BASE ou OPTIONS</t>
  </si>
  <si>
    <r>
      <t xml:space="preserve">Nbr d'heures  BASE </t>
    </r>
    <r>
      <rPr>
        <sz val="14"/>
        <rFont val="Arial"/>
        <family val="2"/>
      </rPr>
      <t xml:space="preserve">+ </t>
    </r>
    <r>
      <rPr>
        <sz val="10"/>
        <rFont val="Arial"/>
        <family val="2"/>
      </rPr>
      <t>OPTIONS</t>
    </r>
  </si>
  <si>
    <t>references DPE
(0,5 point)</t>
  </si>
  <si>
    <t>méthode de reccueil 
des données
et heures =-15% moy(28h)
si h&lt;28 = -2pts
(3 point)</t>
  </si>
  <si>
    <t>ENTREPRISE:  ENETECH</t>
  </si>
  <si>
    <t>Lot 1</t>
  </si>
  <si>
    <t>DPE</t>
  </si>
  <si>
    <t>Entreprise proposée</t>
  </si>
  <si>
    <t>Lot 2</t>
  </si>
  <si>
    <t>Lot 3</t>
  </si>
  <si>
    <t>Lot 4</t>
  </si>
  <si>
    <t>Base TTC</t>
  </si>
  <si>
    <t>Options TTC</t>
  </si>
  <si>
    <t>Diag complémentaire</t>
  </si>
  <si>
    <t>Etanchéité à l'air</t>
  </si>
  <si>
    <t>Thermographie infra-rouge</t>
  </si>
  <si>
    <t>ALEO</t>
  </si>
  <si>
    <t>Eco SERVICE</t>
  </si>
  <si>
    <t>SOCOTEC</t>
  </si>
  <si>
    <t>XXXXXXX</t>
  </si>
  <si>
    <t>TOTAL si ALEO lot 1</t>
  </si>
  <si>
    <t>TOTAL si Eco Service lot 1 + 2</t>
  </si>
  <si>
    <t>Enveloppe disponible</t>
  </si>
  <si>
    <t>ENTREPRISE:  ITC (Infrarouge Technologie Contrôle)</t>
  </si>
  <si>
    <t>N° Enveloppe: 1</t>
  </si>
  <si>
    <t>ENTREPRISE: SOCOTEC INDUSTRIES</t>
  </si>
  <si>
    <t>N° Enveloppe: 2</t>
  </si>
  <si>
    <t>ENTREPRISE: DTM</t>
  </si>
  <si>
    <t>Calendrier prévisionnel</t>
  </si>
  <si>
    <t>Note Pondérée
(10%)</t>
  </si>
  <si>
    <t>Note non pondérée
(de 0 à 2,5)</t>
  </si>
  <si>
    <t>Note Pondérée
(25%)</t>
  </si>
  <si>
    <t>Note non pondérée
(de 0 à 10)</t>
  </si>
  <si>
    <t>type de rapport remis
(2 point)</t>
  </si>
  <si>
    <t>references récentes
(4 point)</t>
  </si>
  <si>
    <t>Note non pondérée Heures
(de 0 à 5)</t>
  </si>
  <si>
    <t>Note non pondérée calendrier
(de 0 à 5)</t>
  </si>
  <si>
    <r>
      <t xml:space="preserve">HEURES
</t>
    </r>
    <r>
      <rPr>
        <sz val="8"/>
        <rFont val="Arial"/>
        <family val="2"/>
      </rPr>
      <t>heures =-20% moy
(Moy{(177+180)/2}=178,5 H)
si H&lt;142,8 alors 2,5 points
si H&gt;142,8 alors 5 points</t>
    </r>
    <r>
      <rPr>
        <sz val="10"/>
        <rFont val="Arial"/>
        <family val="0"/>
      </rPr>
      <t xml:space="preserve">
+
calendrier prév.
(5 points)</t>
    </r>
  </si>
  <si>
    <t>BASE LOT 4 (ESTIMATION)</t>
  </si>
  <si>
    <t xml:space="preserve"> OPTIONS LOT 4 (ESTIMATION)</t>
  </si>
  <si>
    <t>Base</t>
  </si>
  <si>
    <t>Classement Base ou OPTION</t>
  </si>
  <si>
    <t>Classement  Base + Option</t>
  </si>
  <si>
    <t>Prix de l'offre  Base + Option - Euros TTC</t>
  </si>
  <si>
    <t>Prix de l'offre  Base + Option - Euros HT</t>
  </si>
  <si>
    <t>note  pondérée (35%)  Base</t>
  </si>
  <si>
    <t>note  pondérée (35%)
Base+ OPTION</t>
  </si>
  <si>
    <t>total note ponderée Base (sur 100)</t>
  </si>
  <si>
    <t>total note ponderée Base + OPTIONS (sur 100)</t>
  </si>
  <si>
    <t>CLASSEMENT Base (1 à 4)</t>
  </si>
  <si>
    <t>CLASSEMENT Base + Options (1 à 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</si>
</sst>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€_-;\-* #,##0.0\ _€_-;_-* &quot;-&quot;??\ _€_-;_-@_-"/>
    <numFmt numFmtId="171" formatCode="#,##0.00_ ;\-#,##0.00\ "/>
  </numFmts>
  <fonts count="1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43" fontId="2" fillId="0" borderId="3" xfId="18" applyFont="1" applyFill="1" applyBorder="1" applyAlignment="1">
      <alignment horizontal="right" vertical="center"/>
    </xf>
    <xf numFmtId="43" fontId="0" fillId="0" borderId="0" xfId="18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44" fontId="0" fillId="0" borderId="1" xfId="20" applyBorder="1" applyAlignment="1">
      <alignment horizontal="center" vertical="center"/>
    </xf>
    <xf numFmtId="44" fontId="3" fillId="0" borderId="5" xfId="2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15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20" applyAlignment="1">
      <alignment/>
    </xf>
    <xf numFmtId="44" fontId="0" fillId="0" borderId="1" xfId="20" applyBorder="1" applyAlignment="1">
      <alignment/>
    </xf>
    <xf numFmtId="44" fontId="9" fillId="0" borderId="0" xfId="20" applyFont="1" applyAlignment="1">
      <alignment/>
    </xf>
    <xf numFmtId="44" fontId="9" fillId="0" borderId="1" xfId="20" applyFont="1" applyBorder="1" applyAlignment="1">
      <alignment/>
    </xf>
    <xf numFmtId="44" fontId="0" fillId="0" borderId="1" xfId="20" applyBorder="1" applyAlignment="1">
      <alignment horizontal="center"/>
    </xf>
    <xf numFmtId="44" fontId="9" fillId="0" borderId="1" xfId="20" applyFont="1" applyBorder="1" applyAlignment="1">
      <alignment horizontal="center"/>
    </xf>
    <xf numFmtId="44" fontId="0" fillId="0" borderId="1" xfId="2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9" xfId="20" applyBorder="1" applyAlignment="1">
      <alignment/>
    </xf>
    <xf numFmtId="44" fontId="9" fillId="0" borderId="10" xfId="20" applyFont="1" applyBorder="1" applyAlignment="1">
      <alignment/>
    </xf>
    <xf numFmtId="44" fontId="2" fillId="0" borderId="4" xfId="2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0" borderId="0" xfId="18" applyAlignment="1">
      <alignment horizontal="center" vertical="center"/>
    </xf>
    <xf numFmtId="44" fontId="0" fillId="0" borderId="1" xfId="20" applyBorder="1" applyAlignment="1">
      <alignment horizontal="center" vertical="center"/>
    </xf>
    <xf numFmtId="44" fontId="0" fillId="0" borderId="1" xfId="15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171" fontId="0" fillId="0" borderId="7" xfId="18" applyNumberFormat="1" applyBorder="1" applyAlignment="1">
      <alignment horizontal="center" vertical="center"/>
    </xf>
    <xf numFmtId="171" fontId="0" fillId="0" borderId="5" xfId="18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1" fontId="2" fillId="0" borderId="7" xfId="0" applyNumberFormat="1" applyFont="1" applyBorder="1" applyAlignment="1">
      <alignment horizontal="center" vertical="center"/>
    </xf>
    <xf numFmtId="171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1" fontId="2" fillId="0" borderId="7" xfId="18" applyNumberFormat="1" applyFont="1" applyBorder="1" applyAlignment="1">
      <alignment horizontal="center" vertical="center"/>
    </xf>
    <xf numFmtId="171" fontId="2" fillId="0" borderId="5" xfId="18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4" fontId="2" fillId="2" borderId="19" xfId="20" applyFont="1" applyFill="1" applyBorder="1" applyAlignment="1">
      <alignment horizontal="center"/>
    </xf>
    <xf numFmtId="44" fontId="2" fillId="2" borderId="20" xfId="2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view="pageBreakPreview" zoomScale="70" zoomScaleNormal="75" zoomScaleSheetLayoutView="70" workbookViewId="0" topLeftCell="B1">
      <pane xSplit="3" ySplit="6" topLeftCell="E7" activePane="bottomRight" state="frozen"/>
      <selection pane="topLeft" activeCell="B1" sqref="B1"/>
      <selection pane="topRight" activeCell="E1" sqref="E1"/>
      <selection pane="bottomLeft" activeCell="B7" sqref="B7"/>
      <selection pane="bottomRight" activeCell="B18" sqref="B18:B20"/>
    </sheetView>
  </sheetViews>
  <sheetFormatPr defaultColWidth="11.421875" defaultRowHeight="12.75"/>
  <cols>
    <col min="1" max="1" width="12.140625" style="1" customWidth="1"/>
    <col min="2" max="2" width="19.57421875" style="1" customWidth="1"/>
    <col min="3" max="3" width="26.28125" style="1" customWidth="1"/>
    <col min="4" max="4" width="2.00390625" style="1" customWidth="1"/>
    <col min="5" max="26" width="25.7109375" style="1" customWidth="1"/>
    <col min="27" max="16384" width="11.421875" style="1" customWidth="1"/>
  </cols>
  <sheetData>
    <row r="1" spans="1:6" ht="13.5" thickBot="1">
      <c r="A1" s="6" t="s">
        <v>27</v>
      </c>
      <c r="B1" s="7"/>
      <c r="C1" s="7"/>
      <c r="D1" s="8"/>
      <c r="E1" s="59">
        <v>23958.271999999997</v>
      </c>
      <c r="F1" s="9" t="s">
        <v>26</v>
      </c>
    </row>
    <row r="2" spans="5:8" ht="13.5" thickBot="1">
      <c r="E2" s="60"/>
      <c r="H2" s="21"/>
    </row>
    <row r="3" spans="1:6" ht="13.5" thickBot="1">
      <c r="A3" s="6" t="s">
        <v>28</v>
      </c>
      <c r="B3" s="7"/>
      <c r="C3" s="7"/>
      <c r="D3" s="8"/>
      <c r="E3" s="59">
        <v>16525.73</v>
      </c>
      <c r="F3" s="9" t="s">
        <v>26</v>
      </c>
    </row>
    <row r="4" spans="1:6" ht="12.75">
      <c r="A4" s="10"/>
      <c r="B4" s="11"/>
      <c r="C4" s="11"/>
      <c r="D4" s="12"/>
      <c r="E4" s="13"/>
      <c r="F4" s="14"/>
    </row>
    <row r="5" spans="2:18" ht="25.5" customHeight="1">
      <c r="B5" s="2"/>
      <c r="E5" s="111" t="s">
        <v>43</v>
      </c>
      <c r="F5" s="112"/>
      <c r="G5" s="111" t="s">
        <v>44</v>
      </c>
      <c r="H5" s="112"/>
      <c r="I5" s="111" t="s">
        <v>45</v>
      </c>
      <c r="J5" s="112"/>
      <c r="K5" s="113" t="s">
        <v>47</v>
      </c>
      <c r="L5" s="114"/>
      <c r="M5" s="111" t="s">
        <v>48</v>
      </c>
      <c r="N5" s="112"/>
      <c r="O5" s="111" t="s">
        <v>49</v>
      </c>
      <c r="P5" s="112"/>
      <c r="Q5" s="111" t="s">
        <v>50</v>
      </c>
      <c r="R5" s="112"/>
    </row>
    <row r="6" spans="5:18" ht="19.5" customHeight="1">
      <c r="E6" s="115" t="s">
        <v>18</v>
      </c>
      <c r="F6" s="116"/>
      <c r="G6" s="115" t="s">
        <v>19</v>
      </c>
      <c r="H6" s="116"/>
      <c r="I6" s="115" t="s">
        <v>21</v>
      </c>
      <c r="J6" s="116"/>
      <c r="K6" s="117" t="s">
        <v>22</v>
      </c>
      <c r="L6" s="118"/>
      <c r="M6" s="115" t="s">
        <v>23</v>
      </c>
      <c r="N6" s="116"/>
      <c r="O6" s="115" t="s">
        <v>24</v>
      </c>
      <c r="P6" s="116"/>
      <c r="Q6" s="115" t="s">
        <v>25</v>
      </c>
      <c r="R6" s="116"/>
    </row>
    <row r="7" spans="5:18" ht="19.5" customHeight="1">
      <c r="E7" s="3" t="s">
        <v>35</v>
      </c>
      <c r="F7" s="15" t="s">
        <v>77</v>
      </c>
      <c r="G7" s="3" t="s">
        <v>35</v>
      </c>
      <c r="H7" s="15" t="s">
        <v>77</v>
      </c>
      <c r="I7" s="3" t="s">
        <v>35</v>
      </c>
      <c r="J7" s="15" t="s">
        <v>77</v>
      </c>
      <c r="K7" s="45" t="s">
        <v>35</v>
      </c>
      <c r="L7" s="46" t="s">
        <v>77</v>
      </c>
      <c r="M7" s="3" t="s">
        <v>35</v>
      </c>
      <c r="N7" s="15" t="s">
        <v>77</v>
      </c>
      <c r="O7" s="3" t="s">
        <v>35</v>
      </c>
      <c r="P7" s="15" t="s">
        <v>77</v>
      </c>
      <c r="Q7" s="3" t="s">
        <v>35</v>
      </c>
      <c r="R7" s="15" t="s">
        <v>77</v>
      </c>
    </row>
    <row r="8" spans="1:26" ht="15" customHeight="1">
      <c r="A8" s="119" t="s">
        <v>6</v>
      </c>
      <c r="B8" s="120" t="s">
        <v>3</v>
      </c>
      <c r="C8" s="120"/>
      <c r="E8" s="20">
        <v>25225.2</v>
      </c>
      <c r="F8" s="22">
        <v>3657.5</v>
      </c>
      <c r="G8" s="20">
        <v>6410</v>
      </c>
      <c r="H8" s="22">
        <v>3260</v>
      </c>
      <c r="I8" s="20">
        <v>3464.29</v>
      </c>
      <c r="J8" s="22">
        <v>2035.71</v>
      </c>
      <c r="K8" s="47">
        <v>2720</v>
      </c>
      <c r="L8" s="48">
        <v>1520</v>
      </c>
      <c r="M8" s="20">
        <v>5920</v>
      </c>
      <c r="N8" s="22">
        <v>3040</v>
      </c>
      <c r="O8" s="20">
        <v>4500</v>
      </c>
      <c r="P8" s="22">
        <v>1900</v>
      </c>
      <c r="Q8" s="20">
        <v>5810</v>
      </c>
      <c r="R8" s="22">
        <v>1950</v>
      </c>
      <c r="S8" s="21"/>
      <c r="T8" s="21"/>
      <c r="U8" s="21"/>
      <c r="V8" s="21"/>
      <c r="W8" s="21"/>
      <c r="X8" s="21"/>
      <c r="Y8" s="21"/>
      <c r="Z8" s="21"/>
    </row>
    <row r="9" spans="1:26" ht="15" customHeight="1">
      <c r="A9" s="119"/>
      <c r="B9" s="120" t="s">
        <v>4</v>
      </c>
      <c r="C9" s="120"/>
      <c r="E9" s="20">
        <f aca="true" t="shared" si="0" ref="E9:R9">E8*0.196</f>
        <v>4944.1392000000005</v>
      </c>
      <c r="F9" s="20">
        <f t="shared" si="0"/>
        <v>716.87</v>
      </c>
      <c r="G9" s="20">
        <f t="shared" si="0"/>
        <v>1256.3600000000001</v>
      </c>
      <c r="H9" s="20">
        <f t="shared" si="0"/>
        <v>638.96</v>
      </c>
      <c r="I9" s="20">
        <f t="shared" si="0"/>
        <v>679.00084</v>
      </c>
      <c r="J9" s="20">
        <f t="shared" si="0"/>
        <v>398.99916</v>
      </c>
      <c r="K9" s="47">
        <f t="shared" si="0"/>
        <v>533.12</v>
      </c>
      <c r="L9" s="47">
        <f t="shared" si="0"/>
        <v>297.92</v>
      </c>
      <c r="M9" s="20">
        <f t="shared" si="0"/>
        <v>1160.32</v>
      </c>
      <c r="N9" s="20">
        <f t="shared" si="0"/>
        <v>595.84</v>
      </c>
      <c r="O9" s="20">
        <f t="shared" si="0"/>
        <v>882</v>
      </c>
      <c r="P9" s="20">
        <f t="shared" si="0"/>
        <v>372.40000000000003</v>
      </c>
      <c r="Q9" s="20">
        <f t="shared" si="0"/>
        <v>1138.76</v>
      </c>
      <c r="R9" s="20">
        <f t="shared" si="0"/>
        <v>382.2</v>
      </c>
      <c r="S9" s="21"/>
      <c r="T9" s="21"/>
      <c r="U9" s="21"/>
      <c r="V9" s="21"/>
      <c r="W9" s="21"/>
      <c r="X9" s="21"/>
      <c r="Y9" s="21"/>
      <c r="Z9" s="21"/>
    </row>
    <row r="10" spans="1:26" ht="15" customHeight="1">
      <c r="A10" s="119"/>
      <c r="B10" s="120" t="s">
        <v>5</v>
      </c>
      <c r="C10" s="120"/>
      <c r="E10" s="20">
        <f aca="true" t="shared" si="1" ref="E10:R10">E8*1.196</f>
        <v>30169.3392</v>
      </c>
      <c r="F10" s="20">
        <f t="shared" si="1"/>
        <v>4374.37</v>
      </c>
      <c r="G10" s="20">
        <f t="shared" si="1"/>
        <v>7666.36</v>
      </c>
      <c r="H10" s="20">
        <f t="shared" si="1"/>
        <v>3898.96</v>
      </c>
      <c r="I10" s="20">
        <f t="shared" si="1"/>
        <v>4143.29084</v>
      </c>
      <c r="J10" s="20">
        <f t="shared" si="1"/>
        <v>2434.70916</v>
      </c>
      <c r="K10" s="47">
        <f t="shared" si="1"/>
        <v>3253.12</v>
      </c>
      <c r="L10" s="47">
        <v>1520</v>
      </c>
      <c r="M10" s="20">
        <f t="shared" si="1"/>
        <v>7080.32</v>
      </c>
      <c r="N10" s="20">
        <f t="shared" si="1"/>
        <v>3635.8399999999997</v>
      </c>
      <c r="O10" s="20">
        <f t="shared" si="1"/>
        <v>5382</v>
      </c>
      <c r="P10" s="20">
        <f t="shared" si="1"/>
        <v>2272.4</v>
      </c>
      <c r="Q10" s="20">
        <f t="shared" si="1"/>
        <v>6948.759999999999</v>
      </c>
      <c r="R10" s="20">
        <f t="shared" si="1"/>
        <v>2332.2</v>
      </c>
      <c r="S10" s="21"/>
      <c r="T10" s="21"/>
      <c r="U10" s="21"/>
      <c r="V10" s="21"/>
      <c r="W10" s="21"/>
      <c r="X10" s="21"/>
      <c r="Y10" s="21"/>
      <c r="Z10" s="21"/>
    </row>
    <row r="11" spans="1:18" s="41" customFormat="1" ht="15" customHeight="1">
      <c r="A11" s="119"/>
      <c r="B11" s="126" t="s">
        <v>38</v>
      </c>
      <c r="C11" s="126"/>
      <c r="E11" s="42"/>
      <c r="F11" s="42"/>
      <c r="G11" s="42"/>
      <c r="H11" s="42"/>
      <c r="I11" s="42"/>
      <c r="J11" s="42"/>
      <c r="K11" s="49">
        <v>1</v>
      </c>
      <c r="L11" s="49">
        <v>1</v>
      </c>
      <c r="M11" s="42"/>
      <c r="N11" s="42"/>
      <c r="O11" s="42"/>
      <c r="P11" s="42"/>
      <c r="Q11" s="42"/>
      <c r="R11" s="42"/>
    </row>
    <row r="12" spans="1:18" ht="15" customHeight="1">
      <c r="A12" s="119"/>
      <c r="B12" s="120" t="s">
        <v>37</v>
      </c>
      <c r="C12" s="120"/>
      <c r="E12" s="3"/>
      <c r="F12" s="3"/>
      <c r="G12" s="3"/>
      <c r="H12" s="3"/>
      <c r="I12" s="3"/>
      <c r="J12" s="3"/>
      <c r="K12" s="101">
        <v>1</v>
      </c>
      <c r="L12" s="102"/>
      <c r="M12" s="3"/>
      <c r="N12" s="3"/>
      <c r="O12" s="3"/>
      <c r="P12" s="3"/>
      <c r="Q12" s="3"/>
      <c r="R12" s="3"/>
    </row>
    <row r="13" spans="1:18" ht="27" customHeight="1">
      <c r="A13" s="119"/>
      <c r="B13" s="109" t="s">
        <v>73</v>
      </c>
      <c r="C13" s="110"/>
      <c r="E13" s="23">
        <f>(2720/E8)*4</f>
        <v>0.4313147170290027</v>
      </c>
      <c r="F13" s="20">
        <f>($L$8/F8)*4</f>
        <v>1.6623376623376624</v>
      </c>
      <c r="G13" s="23">
        <f>(2720/G8)*4</f>
        <v>1.6973478939157567</v>
      </c>
      <c r="H13" s="20">
        <f>($L$8/H8)*4</f>
        <v>1.8650306748466257</v>
      </c>
      <c r="I13" s="23">
        <f>(2720/I8)*4</f>
        <v>3.1406146714045304</v>
      </c>
      <c r="J13" s="20">
        <f>($L$8/J8)*4</f>
        <v>2.9866729543992023</v>
      </c>
      <c r="K13" s="52">
        <f>(2720/K8)*4</f>
        <v>4</v>
      </c>
      <c r="L13" s="47">
        <f>($L$8/L8)*4</f>
        <v>4</v>
      </c>
      <c r="M13" s="23">
        <f>(2720/M8)*4</f>
        <v>1.837837837837838</v>
      </c>
      <c r="N13" s="20">
        <f>($L$8/N8)*4</f>
        <v>2</v>
      </c>
      <c r="O13" s="23">
        <f>(2720/O8)*4</f>
        <v>2.417777777777778</v>
      </c>
      <c r="P13" s="20">
        <f>($L$8/P8)*4</f>
        <v>3.2</v>
      </c>
      <c r="Q13" s="23">
        <f>(2720/Q8)*4</f>
        <v>1.8726333907056798</v>
      </c>
      <c r="R13" s="20">
        <f>($L$8/R8)*4</f>
        <v>3.117948717948718</v>
      </c>
    </row>
    <row r="14" spans="1:18" ht="42" customHeight="1">
      <c r="A14" s="119"/>
      <c r="B14" s="109" t="s">
        <v>74</v>
      </c>
      <c r="C14" s="110"/>
      <c r="E14" s="133">
        <f>((2720+$L$8)/(E8+F8))*4</f>
        <v>0.5872027199673161</v>
      </c>
      <c r="F14" s="107"/>
      <c r="G14" s="133">
        <f>((2720+$L$8)/(G8+H8))*4</f>
        <v>1.7538779731127196</v>
      </c>
      <c r="H14" s="107"/>
      <c r="I14" s="133">
        <f>((2720+$L$8)/(I8+J8))*4</f>
        <v>3.0836363636363635</v>
      </c>
      <c r="J14" s="107"/>
      <c r="K14" s="103">
        <f>((2720+$L$8)/(K8+L8))*4</f>
        <v>4</v>
      </c>
      <c r="L14" s="104"/>
      <c r="M14" s="133">
        <f>((2720+$L$8)/(M8+N8))*4</f>
        <v>1.8928571428571428</v>
      </c>
      <c r="N14" s="107"/>
      <c r="O14" s="133">
        <f>((2720+$L$8)/(O8+P8))*4</f>
        <v>2.65</v>
      </c>
      <c r="P14" s="107"/>
      <c r="Q14" s="133">
        <f>((2720+$L$8)/(Q8+R8))*4</f>
        <v>2.185567010309278</v>
      </c>
      <c r="R14" s="107"/>
    </row>
    <row r="15" spans="1:18" ht="24" customHeight="1">
      <c r="A15" s="27" t="s">
        <v>52</v>
      </c>
      <c r="B15" s="108" t="s">
        <v>53</v>
      </c>
      <c r="C15" s="100"/>
      <c r="E15" s="3">
        <v>318</v>
      </c>
      <c r="F15" s="3">
        <v>47</v>
      </c>
      <c r="G15" s="3">
        <v>142</v>
      </c>
      <c r="H15" s="3">
        <v>72</v>
      </c>
      <c r="I15" s="3">
        <v>48.5</v>
      </c>
      <c r="J15" s="3">
        <v>28.5</v>
      </c>
      <c r="K15" s="45">
        <v>68</v>
      </c>
      <c r="L15" s="45">
        <v>38</v>
      </c>
      <c r="M15" s="3">
        <v>74</v>
      </c>
      <c r="N15" s="3">
        <v>38</v>
      </c>
      <c r="O15" s="3">
        <v>64</v>
      </c>
      <c r="P15" s="3">
        <v>19</v>
      </c>
      <c r="Q15" s="3">
        <v>68.69</v>
      </c>
      <c r="R15" s="3">
        <v>22.2</v>
      </c>
    </row>
    <row r="16" spans="1:18" ht="38.25" customHeight="1">
      <c r="A16" s="121" t="s">
        <v>61</v>
      </c>
      <c r="B16" s="123" t="s">
        <v>46</v>
      </c>
      <c r="C16" s="124"/>
      <c r="E16" s="25">
        <v>3</v>
      </c>
      <c r="F16" s="26"/>
      <c r="G16" s="25">
        <v>3</v>
      </c>
      <c r="H16" s="26"/>
      <c r="I16" s="25">
        <v>3</v>
      </c>
      <c r="J16" s="26"/>
      <c r="K16" s="50">
        <v>3</v>
      </c>
      <c r="L16" s="51"/>
      <c r="M16" s="25">
        <v>3</v>
      </c>
      <c r="N16" s="26"/>
      <c r="O16" s="25">
        <v>3</v>
      </c>
      <c r="P16" s="26"/>
      <c r="Q16" s="25">
        <v>3</v>
      </c>
      <c r="R16" s="26"/>
    </row>
    <row r="17" spans="1:18" ht="25.5" customHeight="1">
      <c r="A17" s="122"/>
      <c r="B17" s="125" t="s">
        <v>8</v>
      </c>
      <c r="C17" s="125"/>
      <c r="E17" s="36">
        <v>3</v>
      </c>
      <c r="F17" s="37"/>
      <c r="G17" s="36">
        <v>3</v>
      </c>
      <c r="H17" s="37"/>
      <c r="I17" s="36">
        <v>3</v>
      </c>
      <c r="J17" s="37"/>
      <c r="K17" s="54">
        <v>3</v>
      </c>
      <c r="L17" s="55"/>
      <c r="M17" s="36">
        <v>3</v>
      </c>
      <c r="N17" s="37"/>
      <c r="O17" s="36">
        <v>3</v>
      </c>
      <c r="P17" s="37"/>
      <c r="Q17" s="36">
        <v>3</v>
      </c>
      <c r="R17" s="37"/>
    </row>
    <row r="18" spans="1:18" ht="76.5">
      <c r="A18" s="129" t="s">
        <v>9</v>
      </c>
      <c r="B18" s="130" t="s">
        <v>0</v>
      </c>
      <c r="C18" s="40" t="s">
        <v>78</v>
      </c>
      <c r="E18" s="25">
        <v>3</v>
      </c>
      <c r="F18" s="26"/>
      <c r="G18" s="25">
        <v>3</v>
      </c>
      <c r="H18" s="26"/>
      <c r="I18" s="25">
        <f>3-2</f>
        <v>1</v>
      </c>
      <c r="J18" s="26"/>
      <c r="K18" s="50">
        <v>3</v>
      </c>
      <c r="L18" s="51"/>
      <c r="M18" s="25">
        <v>3</v>
      </c>
      <c r="N18" s="26"/>
      <c r="O18" s="25">
        <v>3</v>
      </c>
      <c r="P18" s="26"/>
      <c r="Q18" s="25">
        <v>3</v>
      </c>
      <c r="R18" s="26"/>
    </row>
    <row r="19" spans="1:18" ht="25.5">
      <c r="A19" s="129"/>
      <c r="B19" s="131"/>
      <c r="C19" s="4" t="s">
        <v>67</v>
      </c>
      <c r="E19" s="25">
        <v>0.5</v>
      </c>
      <c r="F19" s="26"/>
      <c r="G19" s="25">
        <v>0.5</v>
      </c>
      <c r="H19" s="26"/>
      <c r="I19" s="25">
        <v>0.5</v>
      </c>
      <c r="J19" s="26"/>
      <c r="K19" s="50">
        <v>0.5</v>
      </c>
      <c r="L19" s="51"/>
      <c r="M19" s="25">
        <v>0.5</v>
      </c>
      <c r="N19" s="26"/>
      <c r="O19" s="25">
        <v>0.5</v>
      </c>
      <c r="P19" s="26"/>
      <c r="Q19" s="25">
        <v>0.5</v>
      </c>
      <c r="R19" s="26"/>
    </row>
    <row r="20" spans="1:18" ht="25.5">
      <c r="A20" s="129"/>
      <c r="B20" s="132"/>
      <c r="C20" s="4" t="s">
        <v>68</v>
      </c>
      <c r="E20" s="25">
        <v>0.5</v>
      </c>
      <c r="F20" s="26"/>
      <c r="G20" s="25">
        <v>0.5</v>
      </c>
      <c r="H20" s="26"/>
      <c r="I20" s="25">
        <v>0.5</v>
      </c>
      <c r="J20" s="26"/>
      <c r="K20" s="50">
        <v>0.5</v>
      </c>
      <c r="L20" s="51"/>
      <c r="M20" s="25">
        <v>0.5</v>
      </c>
      <c r="N20" s="26"/>
      <c r="O20" s="25">
        <v>0.5</v>
      </c>
      <c r="P20" s="26"/>
      <c r="Q20" s="25">
        <v>0.5</v>
      </c>
      <c r="R20" s="26"/>
    </row>
    <row r="21" spans="1:18" ht="25.5">
      <c r="A21" s="129"/>
      <c r="B21" s="119" t="s">
        <v>1</v>
      </c>
      <c r="C21" s="4" t="s">
        <v>13</v>
      </c>
      <c r="E21" s="38">
        <v>0.5</v>
      </c>
      <c r="F21" s="26"/>
      <c r="G21" s="25">
        <v>1</v>
      </c>
      <c r="H21" s="26"/>
      <c r="I21" s="25">
        <v>1</v>
      </c>
      <c r="J21" s="26"/>
      <c r="K21" s="50">
        <v>1</v>
      </c>
      <c r="L21" s="51"/>
      <c r="M21" s="25">
        <v>1</v>
      </c>
      <c r="N21" s="26"/>
      <c r="O21" s="25">
        <v>1</v>
      </c>
      <c r="P21" s="26"/>
      <c r="Q21" s="25">
        <v>1</v>
      </c>
      <c r="R21" s="26"/>
    </row>
    <row r="22" spans="1:18" ht="25.5">
      <c r="A22" s="129"/>
      <c r="B22" s="119"/>
      <c r="C22" s="4" t="s">
        <v>70</v>
      </c>
      <c r="E22" s="25">
        <v>0</v>
      </c>
      <c r="F22" s="26"/>
      <c r="G22" s="25">
        <v>0</v>
      </c>
      <c r="H22" s="26"/>
      <c r="I22" s="25">
        <v>1.5</v>
      </c>
      <c r="J22" s="26"/>
      <c r="K22" s="50">
        <v>1</v>
      </c>
      <c r="L22" s="51"/>
      <c r="M22" s="25">
        <v>1.5</v>
      </c>
      <c r="N22" s="26"/>
      <c r="O22" s="38">
        <v>0</v>
      </c>
      <c r="P22" s="26"/>
      <c r="Q22" s="25">
        <v>1.5</v>
      </c>
      <c r="R22" s="26"/>
    </row>
    <row r="23" spans="1:18" ht="25.5">
      <c r="A23" s="129"/>
      <c r="B23" s="119"/>
      <c r="C23" s="4" t="s">
        <v>69</v>
      </c>
      <c r="E23" s="25">
        <v>0</v>
      </c>
      <c r="F23" s="26"/>
      <c r="G23" s="25">
        <v>0</v>
      </c>
      <c r="H23" s="26"/>
      <c r="I23" s="25">
        <v>0</v>
      </c>
      <c r="J23" s="26"/>
      <c r="K23" s="50">
        <v>0.5</v>
      </c>
      <c r="L23" s="51"/>
      <c r="M23" s="25">
        <v>0.5</v>
      </c>
      <c r="N23" s="26"/>
      <c r="O23" s="39">
        <v>0.5</v>
      </c>
      <c r="P23" s="26"/>
      <c r="Q23" s="25">
        <v>0.5</v>
      </c>
      <c r="R23" s="26"/>
    </row>
    <row r="24" spans="1:18" ht="25.5">
      <c r="A24" s="129"/>
      <c r="B24" s="119"/>
      <c r="C24" s="4" t="s">
        <v>14</v>
      </c>
      <c r="E24" s="25">
        <v>1</v>
      </c>
      <c r="F24" s="26"/>
      <c r="G24" s="25">
        <v>0</v>
      </c>
      <c r="H24" s="26"/>
      <c r="I24" s="25">
        <v>1</v>
      </c>
      <c r="J24" s="26"/>
      <c r="K24" s="50">
        <v>1</v>
      </c>
      <c r="L24" s="51"/>
      <c r="M24" s="25">
        <v>1</v>
      </c>
      <c r="N24" s="26"/>
      <c r="O24" s="25">
        <v>1</v>
      </c>
      <c r="P24" s="26"/>
      <c r="Q24" s="25">
        <v>1</v>
      </c>
      <c r="R24" s="26"/>
    </row>
    <row r="25" spans="1:18" ht="25.5">
      <c r="A25" s="129"/>
      <c r="B25" s="119" t="s">
        <v>2</v>
      </c>
      <c r="C25" s="4" t="s">
        <v>71</v>
      </c>
      <c r="E25" s="25">
        <v>0</v>
      </c>
      <c r="F25" s="26"/>
      <c r="G25" s="25">
        <v>0</v>
      </c>
      <c r="H25" s="26"/>
      <c r="I25" s="25">
        <v>0</v>
      </c>
      <c r="J25" s="26"/>
      <c r="K25" s="50">
        <v>0</v>
      </c>
      <c r="L25" s="51"/>
      <c r="M25" s="25">
        <v>0</v>
      </c>
      <c r="N25" s="26"/>
      <c r="O25" s="25">
        <v>0.5</v>
      </c>
      <c r="P25" s="26"/>
      <c r="Q25" s="25">
        <v>0.5</v>
      </c>
      <c r="R25" s="26"/>
    </row>
    <row r="26" spans="1:18" ht="25.5" customHeight="1">
      <c r="A26" s="129"/>
      <c r="B26" s="119"/>
      <c r="C26" s="4" t="s">
        <v>72</v>
      </c>
      <c r="E26" s="25">
        <v>0.5</v>
      </c>
      <c r="F26" s="26"/>
      <c r="G26" s="38">
        <v>0</v>
      </c>
      <c r="H26" s="26"/>
      <c r="I26" s="25">
        <v>0.5</v>
      </c>
      <c r="J26" s="26"/>
      <c r="K26" s="50">
        <v>0</v>
      </c>
      <c r="L26" s="51"/>
      <c r="M26" s="25">
        <v>0.5</v>
      </c>
      <c r="N26" s="26"/>
      <c r="O26" s="25">
        <v>0</v>
      </c>
      <c r="P26" s="26"/>
      <c r="Q26" s="25">
        <v>0.5</v>
      </c>
      <c r="R26" s="26"/>
    </row>
    <row r="27" spans="1:18" ht="25.5">
      <c r="A27" s="129"/>
      <c r="B27" s="4" t="s">
        <v>10</v>
      </c>
      <c r="C27" s="4" t="s">
        <v>97</v>
      </c>
      <c r="E27" s="25">
        <v>0.5</v>
      </c>
      <c r="F27" s="26"/>
      <c r="G27" s="25">
        <v>0.5</v>
      </c>
      <c r="H27" s="26"/>
      <c r="I27" s="25">
        <v>0.5</v>
      </c>
      <c r="J27" s="26"/>
      <c r="K27" s="50">
        <v>0.5</v>
      </c>
      <c r="L27" s="51"/>
      <c r="M27" s="25">
        <v>0.5</v>
      </c>
      <c r="N27" s="26"/>
      <c r="O27" s="25">
        <v>0.5</v>
      </c>
      <c r="P27" s="26"/>
      <c r="Q27" s="25">
        <v>0.5</v>
      </c>
      <c r="R27" s="26"/>
    </row>
    <row r="28" spans="1:18" ht="25.5">
      <c r="A28" s="129"/>
      <c r="B28" s="3" t="s">
        <v>11</v>
      </c>
      <c r="C28" s="4" t="s">
        <v>15</v>
      </c>
      <c r="E28" s="25">
        <v>0.5</v>
      </c>
      <c r="F28" s="26"/>
      <c r="G28" s="38">
        <v>0</v>
      </c>
      <c r="H28" s="26"/>
      <c r="I28" s="38">
        <v>0</v>
      </c>
      <c r="J28" s="26"/>
      <c r="K28" s="50">
        <v>0.5</v>
      </c>
      <c r="L28" s="51"/>
      <c r="M28" s="25">
        <v>0.5</v>
      </c>
      <c r="N28" s="26"/>
      <c r="O28" s="38">
        <v>0</v>
      </c>
      <c r="P28" s="26"/>
      <c r="Q28" s="25">
        <v>0.5</v>
      </c>
      <c r="R28" s="26"/>
    </row>
    <row r="29" spans="1:18" ht="25.5" customHeight="1">
      <c r="A29" s="129"/>
      <c r="B29" s="129" t="s">
        <v>75</v>
      </c>
      <c r="C29" s="129"/>
      <c r="E29" s="25">
        <f>SUM(E18:E28)</f>
        <v>7</v>
      </c>
      <c r="F29" s="26"/>
      <c r="G29" s="25">
        <f>SUM(G18:G28)</f>
        <v>5.5</v>
      </c>
      <c r="H29" s="26"/>
      <c r="I29" s="25">
        <f>SUM(I18:I28)</f>
        <v>6.5</v>
      </c>
      <c r="J29" s="26"/>
      <c r="K29" s="50">
        <f>SUM(K18:K28)</f>
        <v>8.5</v>
      </c>
      <c r="L29" s="51"/>
      <c r="M29" s="25">
        <f>SUM(M18:M28)</f>
        <v>9.5</v>
      </c>
      <c r="N29" s="26"/>
      <c r="O29" s="25">
        <f>SUM(O18:O28)</f>
        <v>7.5</v>
      </c>
      <c r="P29" s="26"/>
      <c r="Q29" s="25">
        <f>SUM(Q18:Q28)</f>
        <v>10</v>
      </c>
      <c r="R29" s="26"/>
    </row>
    <row r="30" spans="1:18" ht="38.25" customHeight="1">
      <c r="A30" s="129"/>
      <c r="B30" s="125" t="s">
        <v>76</v>
      </c>
      <c r="C30" s="125"/>
      <c r="E30" s="36">
        <f>E29*3/10</f>
        <v>2.1</v>
      </c>
      <c r="F30" s="37"/>
      <c r="G30" s="36">
        <f>G29*3/10</f>
        <v>1.65</v>
      </c>
      <c r="H30" s="37"/>
      <c r="I30" s="36">
        <f>I29*3/10</f>
        <v>1.95</v>
      </c>
      <c r="J30" s="37"/>
      <c r="K30" s="54">
        <f>K29*3/10</f>
        <v>2.55</v>
      </c>
      <c r="L30" s="55"/>
      <c r="M30" s="36">
        <f>M29*3/10</f>
        <v>2.85</v>
      </c>
      <c r="N30" s="37"/>
      <c r="O30" s="36">
        <f>O29*3/10</f>
        <v>2.25</v>
      </c>
      <c r="P30" s="37"/>
      <c r="Q30" s="36">
        <f>Q29*3/10</f>
        <v>3</v>
      </c>
      <c r="R30" s="37"/>
    </row>
    <row r="31" spans="5:18" ht="12.75">
      <c r="E31" s="3"/>
      <c r="F31" s="3"/>
      <c r="G31" s="3"/>
      <c r="H31" s="3"/>
      <c r="I31" s="25"/>
      <c r="J31" s="26"/>
      <c r="K31" s="50"/>
      <c r="L31" s="51"/>
      <c r="M31" s="25"/>
      <c r="N31" s="26"/>
      <c r="O31" s="25"/>
      <c r="P31" s="26"/>
      <c r="Q31" s="25"/>
      <c r="R31" s="26"/>
    </row>
    <row r="32" spans="1:18" ht="29.25" customHeight="1">
      <c r="A32" s="127" t="s">
        <v>51</v>
      </c>
      <c r="B32" s="128"/>
      <c r="C32" s="128"/>
      <c r="E32" s="20">
        <f>E30+E17+E13</f>
        <v>5.5313147170290025</v>
      </c>
      <c r="F32" s="3"/>
      <c r="G32" s="20">
        <f>G30+G17+G13</f>
        <v>6.347347893915757</v>
      </c>
      <c r="H32" s="3"/>
      <c r="I32" s="20">
        <f>I30+I17+I13</f>
        <v>8.09061467140453</v>
      </c>
      <c r="J32" s="26"/>
      <c r="K32" s="53">
        <f>K30+K17+K13</f>
        <v>9.55</v>
      </c>
      <c r="L32" s="51"/>
      <c r="M32" s="20">
        <f>M30+M17+M13</f>
        <v>7.687837837837837</v>
      </c>
      <c r="N32" s="26"/>
      <c r="O32" s="20">
        <f>O30+O17+O13</f>
        <v>7.667777777777777</v>
      </c>
      <c r="P32" s="26"/>
      <c r="Q32" s="20">
        <f>Q30+Q17+Q13</f>
        <v>7.87263339070568</v>
      </c>
      <c r="R32" s="26"/>
    </row>
    <row r="33" spans="1:18" s="18" customFormat="1" ht="12" customHeight="1">
      <c r="A33" s="16"/>
      <c r="B33" s="17"/>
      <c r="C33" s="17"/>
      <c r="E33" s="19"/>
      <c r="F33" s="19"/>
      <c r="G33" s="19"/>
      <c r="H33" s="19"/>
      <c r="I33" s="19"/>
      <c r="J33" s="19"/>
      <c r="K33" s="56"/>
      <c r="L33" s="56"/>
      <c r="M33" s="19"/>
      <c r="N33" s="19"/>
      <c r="O33" s="19"/>
      <c r="P33" s="19"/>
      <c r="Q33" s="19"/>
      <c r="R33" s="19"/>
    </row>
    <row r="34" spans="1:18" ht="29.25" customHeight="1">
      <c r="A34" s="127" t="s">
        <v>79</v>
      </c>
      <c r="B34" s="128"/>
      <c r="C34" s="128"/>
      <c r="E34" s="20">
        <f>E30+E17+E14</f>
        <v>5.687202719967316</v>
      </c>
      <c r="F34" s="3"/>
      <c r="G34" s="20">
        <f>G30+G17+G14</f>
        <v>6.40387797311272</v>
      </c>
      <c r="H34" s="3"/>
      <c r="I34" s="20">
        <f>I30+I17+I14</f>
        <v>8.033636363636363</v>
      </c>
      <c r="J34" s="3"/>
      <c r="K34" s="47">
        <f>K30+K17+K14</f>
        <v>9.55</v>
      </c>
      <c r="L34" s="45"/>
      <c r="M34" s="20">
        <f>M30+M17+M14</f>
        <v>7.742857142857142</v>
      </c>
      <c r="N34" s="3"/>
      <c r="O34" s="20">
        <f>O30+O17+O14</f>
        <v>7.9</v>
      </c>
      <c r="P34" s="3"/>
      <c r="Q34" s="20">
        <f>Q30+Q17+Q14</f>
        <v>8.185567010309278</v>
      </c>
      <c r="R34" s="3"/>
    </row>
  </sheetData>
  <mergeCells count="42">
    <mergeCell ref="Q14:R14"/>
    <mergeCell ref="B25:B26"/>
    <mergeCell ref="B15:C15"/>
    <mergeCell ref="K12:L12"/>
    <mergeCell ref="K14:L14"/>
    <mergeCell ref="M14:N14"/>
    <mergeCell ref="O14:P14"/>
    <mergeCell ref="E14:F14"/>
    <mergeCell ref="G14:H14"/>
    <mergeCell ref="I14:J14"/>
    <mergeCell ref="A32:C32"/>
    <mergeCell ref="A34:C34"/>
    <mergeCell ref="A18:A30"/>
    <mergeCell ref="B18:B20"/>
    <mergeCell ref="B21:B24"/>
    <mergeCell ref="B29:C29"/>
    <mergeCell ref="B30:C30"/>
    <mergeCell ref="A8:A14"/>
    <mergeCell ref="B8:C8"/>
    <mergeCell ref="A16:A17"/>
    <mergeCell ref="B16:C16"/>
    <mergeCell ref="B17:C17"/>
    <mergeCell ref="B14:C14"/>
    <mergeCell ref="B9:C9"/>
    <mergeCell ref="B10:C10"/>
    <mergeCell ref="B11:C11"/>
    <mergeCell ref="B12:C12"/>
    <mergeCell ref="G6:H6"/>
    <mergeCell ref="Q5:R5"/>
    <mergeCell ref="Q6:R6"/>
    <mergeCell ref="O5:P5"/>
    <mergeCell ref="O6:P6"/>
    <mergeCell ref="B13:C13"/>
    <mergeCell ref="I5:J5"/>
    <mergeCell ref="K5:L5"/>
    <mergeCell ref="M5:N5"/>
    <mergeCell ref="E5:F5"/>
    <mergeCell ref="G5:H5"/>
    <mergeCell ref="I6:J6"/>
    <mergeCell ref="K6:L6"/>
    <mergeCell ref="M6:N6"/>
    <mergeCell ref="E6:F6"/>
  </mergeCells>
  <printOptions/>
  <pageMargins left="0.3937007874015748" right="0.3937007874015748" top="0.7874015748031497" bottom="0.7874015748031497" header="0.5118110236220472" footer="0.5118110236220472"/>
  <pageSetup fitToWidth="0" fitToHeight="1" horizontalDpi="600" verticalDpi="600" orientation="landscape" paperSize="9" scale="59" r:id="rId1"/>
  <headerFooter alignWithMargins="0">
    <oddHeader>&amp;CClassement DPE Savoie
LOT N°1</oddHeader>
    <oddFooter>&amp;LLOT N°1&amp;R&amp;P sur &amp;N</oddFooter>
  </headerFooter>
  <colBreaks count="3" manualBreakCount="3">
    <brk id="10" max="65535" man="1"/>
    <brk id="16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70" zoomScaleNormal="50" zoomScaleSheetLayoutView="70" workbookViewId="0" topLeftCell="A1">
      <pane xSplit="4" ySplit="7" topLeftCell="E2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3" sqref="G33:H33"/>
    </sheetView>
  </sheetViews>
  <sheetFormatPr defaultColWidth="11.421875" defaultRowHeight="12.75"/>
  <cols>
    <col min="1" max="1" width="13.8515625" style="1" customWidth="1"/>
    <col min="2" max="2" width="19.57421875" style="1" customWidth="1"/>
    <col min="3" max="3" width="26.28125" style="1" customWidth="1"/>
    <col min="4" max="4" width="3.140625" style="1" customWidth="1"/>
    <col min="5" max="20" width="25.7109375" style="1" customWidth="1"/>
    <col min="21" max="16384" width="11.421875" style="1" customWidth="1"/>
  </cols>
  <sheetData>
    <row r="1" spans="1:6" ht="13.5" thickBot="1">
      <c r="A1" s="6" t="s">
        <v>29</v>
      </c>
      <c r="B1" s="7"/>
      <c r="C1" s="7"/>
      <c r="D1" s="8"/>
      <c r="E1" s="59">
        <v>11922.92</v>
      </c>
      <c r="F1" s="9" t="s">
        <v>26</v>
      </c>
    </row>
    <row r="2" ht="13.5" thickBot="1">
      <c r="E2" s="60"/>
    </row>
    <row r="3" spans="1:16" ht="13.5" thickBot="1">
      <c r="A3" s="6" t="s">
        <v>30</v>
      </c>
      <c r="B3" s="7"/>
      <c r="C3" s="7"/>
      <c r="D3" s="8"/>
      <c r="E3" s="59">
        <v>14355.588</v>
      </c>
      <c r="F3" s="9" t="s">
        <v>26</v>
      </c>
      <c r="O3" s="95" t="s">
        <v>93</v>
      </c>
      <c r="P3" s="96"/>
    </row>
    <row r="4" spans="1:16" ht="12.75">
      <c r="A4" s="10"/>
      <c r="B4" s="11"/>
      <c r="C4" s="11"/>
      <c r="D4" s="12"/>
      <c r="E4" s="13"/>
      <c r="F4" s="14"/>
      <c r="O4" s="97"/>
      <c r="P4" s="98"/>
    </row>
    <row r="5" spans="2:18" ht="27" customHeight="1">
      <c r="B5" s="2"/>
      <c r="E5" s="111" t="s">
        <v>43</v>
      </c>
      <c r="F5" s="112"/>
      <c r="G5" s="111" t="s">
        <v>44</v>
      </c>
      <c r="H5" s="112"/>
      <c r="I5" s="113" t="s">
        <v>62</v>
      </c>
      <c r="J5" s="114"/>
      <c r="K5" s="111" t="s">
        <v>63</v>
      </c>
      <c r="L5" s="112"/>
      <c r="M5" s="111" t="s">
        <v>65</v>
      </c>
      <c r="N5" s="112"/>
      <c r="O5" s="137" t="s">
        <v>66</v>
      </c>
      <c r="P5" s="138"/>
      <c r="Q5" s="111" t="s">
        <v>50</v>
      </c>
      <c r="R5" s="112"/>
    </row>
    <row r="6" spans="5:18" ht="19.5" customHeight="1">
      <c r="E6" s="115" t="s">
        <v>54</v>
      </c>
      <c r="F6" s="116"/>
      <c r="G6" s="115" t="s">
        <v>20</v>
      </c>
      <c r="H6" s="116"/>
      <c r="I6" s="117" t="s">
        <v>21</v>
      </c>
      <c r="J6" s="118"/>
      <c r="K6" s="115" t="s">
        <v>64</v>
      </c>
      <c r="L6" s="116"/>
      <c r="M6" s="115" t="s">
        <v>23</v>
      </c>
      <c r="N6" s="116"/>
      <c r="O6" s="115" t="s">
        <v>24</v>
      </c>
      <c r="P6" s="116"/>
      <c r="Q6" s="115" t="s">
        <v>25</v>
      </c>
      <c r="R6" s="116"/>
    </row>
    <row r="7" spans="5:18" ht="19.5" customHeight="1">
      <c r="E7" s="3" t="s">
        <v>35</v>
      </c>
      <c r="F7" s="15" t="s">
        <v>36</v>
      </c>
      <c r="G7" s="3" t="s">
        <v>35</v>
      </c>
      <c r="H7" s="15" t="s">
        <v>36</v>
      </c>
      <c r="I7" s="45" t="s">
        <v>35</v>
      </c>
      <c r="J7" s="46" t="s">
        <v>36</v>
      </c>
      <c r="K7" s="3" t="s">
        <v>35</v>
      </c>
      <c r="L7" s="15" t="s">
        <v>36</v>
      </c>
      <c r="M7" s="3" t="s">
        <v>35</v>
      </c>
      <c r="N7" s="15" t="s">
        <v>36</v>
      </c>
      <c r="O7" s="3" t="s">
        <v>35</v>
      </c>
      <c r="P7" s="15" t="s">
        <v>36</v>
      </c>
      <c r="Q7" s="3" t="s">
        <v>35</v>
      </c>
      <c r="R7" s="15" t="s">
        <v>36</v>
      </c>
    </row>
    <row r="8" spans="1:18" s="29" customFormat="1" ht="15" customHeight="1">
      <c r="A8" s="119" t="s">
        <v>6</v>
      </c>
      <c r="B8" s="135" t="s">
        <v>3</v>
      </c>
      <c r="C8" s="135"/>
      <c r="E8" s="30">
        <v>30450</v>
      </c>
      <c r="F8" s="32">
        <v>72625</v>
      </c>
      <c r="G8" s="30">
        <v>11790</v>
      </c>
      <c r="H8" s="32">
        <v>16380</v>
      </c>
      <c r="I8" s="57">
        <v>3571.43</v>
      </c>
      <c r="J8" s="58">
        <v>8928.57</v>
      </c>
      <c r="K8" s="30">
        <v>2520</v>
      </c>
      <c r="L8" s="32">
        <v>5880</v>
      </c>
      <c r="M8" s="30">
        <v>17280</v>
      </c>
      <c r="N8" s="32">
        <v>28800</v>
      </c>
      <c r="O8" s="33">
        <v>900</v>
      </c>
      <c r="P8" s="34">
        <v>1100</v>
      </c>
      <c r="Q8" s="30">
        <v>9425</v>
      </c>
      <c r="R8" s="32">
        <v>16250</v>
      </c>
    </row>
    <row r="9" spans="1:19" s="21" customFormat="1" ht="15" customHeight="1">
      <c r="A9" s="119"/>
      <c r="B9" s="136" t="s">
        <v>4</v>
      </c>
      <c r="C9" s="136"/>
      <c r="E9" s="20">
        <f>E8*0.196</f>
        <v>5968.2</v>
      </c>
      <c r="F9" s="20">
        <f>F8*0.196</f>
        <v>14234.5</v>
      </c>
      <c r="G9" s="20">
        <f aca="true" t="shared" si="0" ref="G9:R9">G8*0.196</f>
        <v>2310.84</v>
      </c>
      <c r="H9" s="20">
        <f t="shared" si="0"/>
        <v>3210.48</v>
      </c>
      <c r="I9" s="47">
        <f t="shared" si="0"/>
        <v>700.00028</v>
      </c>
      <c r="J9" s="47">
        <f t="shared" si="0"/>
        <v>1749.99972</v>
      </c>
      <c r="K9" s="20">
        <f t="shared" si="0"/>
        <v>493.92</v>
      </c>
      <c r="L9" s="20">
        <f t="shared" si="0"/>
        <v>1152.48</v>
      </c>
      <c r="M9" s="20">
        <f t="shared" si="0"/>
        <v>3386.88</v>
      </c>
      <c r="N9" s="20">
        <f t="shared" si="0"/>
        <v>5644.8</v>
      </c>
      <c r="O9" s="20">
        <f t="shared" si="0"/>
        <v>176.4</v>
      </c>
      <c r="P9" s="20">
        <f t="shared" si="0"/>
        <v>215.6</v>
      </c>
      <c r="Q9" s="20">
        <f t="shared" si="0"/>
        <v>1847.3000000000002</v>
      </c>
      <c r="R9" s="20">
        <f t="shared" si="0"/>
        <v>3185</v>
      </c>
      <c r="S9" s="29"/>
    </row>
    <row r="10" spans="1:19" s="21" customFormat="1" ht="15" customHeight="1">
      <c r="A10" s="119"/>
      <c r="B10" s="136" t="s">
        <v>5</v>
      </c>
      <c r="C10" s="136"/>
      <c r="E10" s="20">
        <f>E8*1.196</f>
        <v>36418.2</v>
      </c>
      <c r="F10" s="20">
        <f>F8*1.196</f>
        <v>86859.5</v>
      </c>
      <c r="G10" s="20">
        <f aca="true" t="shared" si="1" ref="G10:R10">G8*1.196</f>
        <v>14100.84</v>
      </c>
      <c r="H10" s="20">
        <f t="shared" si="1"/>
        <v>19590.48</v>
      </c>
      <c r="I10" s="47">
        <f t="shared" si="1"/>
        <v>4271.43028</v>
      </c>
      <c r="J10" s="47">
        <f t="shared" si="1"/>
        <v>10678.56972</v>
      </c>
      <c r="K10" s="20">
        <f t="shared" si="1"/>
        <v>3013.92</v>
      </c>
      <c r="L10" s="20">
        <f t="shared" si="1"/>
        <v>7032.48</v>
      </c>
      <c r="M10" s="20">
        <f t="shared" si="1"/>
        <v>20666.879999999997</v>
      </c>
      <c r="N10" s="20">
        <f t="shared" si="1"/>
        <v>34444.799999999996</v>
      </c>
      <c r="O10" s="20">
        <f t="shared" si="1"/>
        <v>1076.3999999999999</v>
      </c>
      <c r="P10" s="20">
        <f t="shared" si="1"/>
        <v>1315.6</v>
      </c>
      <c r="Q10" s="20">
        <f t="shared" si="1"/>
        <v>11272.3</v>
      </c>
      <c r="R10" s="20">
        <f t="shared" si="1"/>
        <v>19435</v>
      </c>
      <c r="S10" s="29"/>
    </row>
    <row r="11" spans="1:18" ht="15" customHeight="1">
      <c r="A11" s="119"/>
      <c r="B11" s="120" t="s">
        <v>38</v>
      </c>
      <c r="C11" s="120"/>
      <c r="E11" s="3">
        <v>6</v>
      </c>
      <c r="F11" s="3">
        <v>6</v>
      </c>
      <c r="G11" s="3">
        <v>4</v>
      </c>
      <c r="H11" s="3">
        <v>4</v>
      </c>
      <c r="I11" s="45">
        <v>2</v>
      </c>
      <c r="J11" s="45">
        <v>2</v>
      </c>
      <c r="K11" s="3">
        <v>1</v>
      </c>
      <c r="L11" s="3">
        <v>1</v>
      </c>
      <c r="M11" s="3">
        <v>5</v>
      </c>
      <c r="N11" s="3">
        <v>5</v>
      </c>
      <c r="O11" s="3">
        <v>0</v>
      </c>
      <c r="P11" s="3">
        <v>0</v>
      </c>
      <c r="Q11" s="3">
        <v>3</v>
      </c>
      <c r="R11" s="3">
        <v>3</v>
      </c>
    </row>
    <row r="12" spans="1:18" ht="15" customHeight="1">
      <c r="A12" s="119"/>
      <c r="B12" s="120" t="s">
        <v>37</v>
      </c>
      <c r="C12" s="120"/>
      <c r="E12" s="105">
        <v>6</v>
      </c>
      <c r="F12" s="106"/>
      <c r="G12" s="105">
        <v>4</v>
      </c>
      <c r="H12" s="106"/>
      <c r="I12" s="101">
        <v>2</v>
      </c>
      <c r="J12" s="102"/>
      <c r="K12" s="105">
        <v>1</v>
      </c>
      <c r="L12" s="106"/>
      <c r="M12" s="105">
        <v>5</v>
      </c>
      <c r="N12" s="106"/>
      <c r="O12" s="105">
        <v>0</v>
      </c>
      <c r="P12" s="106"/>
      <c r="Q12" s="105">
        <v>3</v>
      </c>
      <c r="R12" s="106"/>
    </row>
    <row r="13" spans="1:18" ht="27" customHeight="1">
      <c r="A13" s="119"/>
      <c r="B13" s="109" t="s">
        <v>57</v>
      </c>
      <c r="C13" s="110"/>
      <c r="E13" s="23">
        <f>(2520/E8)*4</f>
        <v>0.3310344827586207</v>
      </c>
      <c r="F13" s="20">
        <f>(5880/F8)*4</f>
        <v>0.32385542168674697</v>
      </c>
      <c r="G13" s="23">
        <f>(2520/G8)*4</f>
        <v>0.8549618320610687</v>
      </c>
      <c r="H13" s="20">
        <f>(5880/H8)*4</f>
        <v>1.435897435897436</v>
      </c>
      <c r="I13" s="52">
        <f>(2520/I8)*4</f>
        <v>2.8223988710404515</v>
      </c>
      <c r="J13" s="47">
        <f>(5880/J8)*4</f>
        <v>2.6342404214784674</v>
      </c>
      <c r="K13" s="23">
        <f>(2520/K8)*4</f>
        <v>4</v>
      </c>
      <c r="L13" s="20">
        <f>(5880/L8)*4</f>
        <v>4</v>
      </c>
      <c r="M13" s="23">
        <f>(2520/M8)*4</f>
        <v>0.5833333333333334</v>
      </c>
      <c r="N13" s="20">
        <f>(5880/N8)*4</f>
        <v>0.8166666666666667</v>
      </c>
      <c r="O13" s="23">
        <f>(2520/O8)*4</f>
        <v>11.2</v>
      </c>
      <c r="P13" s="20">
        <f>(5880/P8)*4</f>
        <v>21.381818181818183</v>
      </c>
      <c r="Q13" s="23">
        <f>(2520/Q8)*4</f>
        <v>1.0694960212201592</v>
      </c>
      <c r="R13" s="20">
        <f>(5880/R8)*4</f>
        <v>1.4473846153846155</v>
      </c>
    </row>
    <row r="14" spans="1:18" s="21" customFormat="1" ht="24" customHeight="1">
      <c r="A14" s="119"/>
      <c r="B14" s="99" t="s">
        <v>58</v>
      </c>
      <c r="C14" s="134"/>
      <c r="E14" s="133">
        <f>((2520+5880)/(E8+F8))*4</f>
        <v>0.32597623089983024</v>
      </c>
      <c r="F14" s="107"/>
      <c r="G14" s="133">
        <f>((2520+5880)/(G8+H8))*4</f>
        <v>1.192758253461129</v>
      </c>
      <c r="H14" s="107"/>
      <c r="I14" s="103">
        <f>((2520+5880)/(I8+J8))*4</f>
        <v>2.688</v>
      </c>
      <c r="J14" s="104"/>
      <c r="K14" s="133">
        <f>((2520+5880)/(K8+L8))*4</f>
        <v>4</v>
      </c>
      <c r="L14" s="107"/>
      <c r="M14" s="133">
        <f>((2520+5880)/(M8+N8))*4</f>
        <v>0.7291666666666666</v>
      </c>
      <c r="N14" s="107"/>
      <c r="O14" s="133">
        <f>((2520+5880)/(O8+P8))*4</f>
        <v>16.8</v>
      </c>
      <c r="P14" s="107"/>
      <c r="Q14" s="133">
        <f>((2520+5880)/(Q8+R8))*4</f>
        <v>1.308666017526777</v>
      </c>
      <c r="R14" s="107"/>
    </row>
    <row r="15" spans="1:18" ht="17.25" customHeight="1">
      <c r="A15" s="130" t="s">
        <v>52</v>
      </c>
      <c r="B15" s="108" t="s">
        <v>92</v>
      </c>
      <c r="C15" s="100"/>
      <c r="E15" s="3">
        <v>350</v>
      </c>
      <c r="F15" s="3">
        <v>875</v>
      </c>
      <c r="G15" s="3">
        <v>131</v>
      </c>
      <c r="H15" s="3">
        <v>177</v>
      </c>
      <c r="I15" s="45">
        <v>50</v>
      </c>
      <c r="J15" s="45">
        <v>125</v>
      </c>
      <c r="K15" s="3">
        <v>49</v>
      </c>
      <c r="L15" s="3">
        <v>147</v>
      </c>
      <c r="M15" s="3">
        <v>216</v>
      </c>
      <c r="N15" s="3">
        <v>360</v>
      </c>
      <c r="O15" s="24">
        <v>9</v>
      </c>
      <c r="P15" s="24">
        <v>12</v>
      </c>
      <c r="Q15" s="3">
        <v>116</v>
      </c>
      <c r="R15" s="3">
        <v>200</v>
      </c>
    </row>
    <row r="16" spans="1:18" ht="17.25" customHeight="1">
      <c r="A16" s="132"/>
      <c r="B16" s="108" t="s">
        <v>91</v>
      </c>
      <c r="C16" s="100"/>
      <c r="E16" s="105">
        <f>E15+F15</f>
        <v>1225</v>
      </c>
      <c r="F16" s="106"/>
      <c r="G16" s="105">
        <f>G15+H15</f>
        <v>308</v>
      </c>
      <c r="H16" s="106"/>
      <c r="I16" s="101">
        <f>I15+J15</f>
        <v>175</v>
      </c>
      <c r="J16" s="102"/>
      <c r="K16" s="105">
        <f>K15+L15</f>
        <v>196</v>
      </c>
      <c r="L16" s="106"/>
      <c r="M16" s="105">
        <f>M15+N15</f>
        <v>576</v>
      </c>
      <c r="N16" s="106"/>
      <c r="O16" s="105">
        <f>O15+P15</f>
        <v>21</v>
      </c>
      <c r="P16" s="106"/>
      <c r="Q16" s="105">
        <f>Q15+R15</f>
        <v>316</v>
      </c>
      <c r="R16" s="106"/>
    </row>
    <row r="17" spans="1:18" ht="38.25" customHeight="1">
      <c r="A17" s="129" t="s">
        <v>61</v>
      </c>
      <c r="B17" s="129" t="s">
        <v>59</v>
      </c>
      <c r="C17" s="129"/>
      <c r="E17" s="105">
        <v>2</v>
      </c>
      <c r="F17" s="106"/>
      <c r="G17" s="105">
        <v>3</v>
      </c>
      <c r="H17" s="106"/>
      <c r="I17" s="101">
        <v>3</v>
      </c>
      <c r="J17" s="102"/>
      <c r="K17" s="105">
        <v>2</v>
      </c>
      <c r="L17" s="106"/>
      <c r="M17" s="105">
        <v>3</v>
      </c>
      <c r="N17" s="106"/>
      <c r="O17" s="105">
        <v>1</v>
      </c>
      <c r="P17" s="106"/>
      <c r="Q17" s="105">
        <v>3</v>
      </c>
      <c r="R17" s="106"/>
    </row>
    <row r="18" spans="1:18" ht="30.75" customHeight="1">
      <c r="A18" s="129"/>
      <c r="B18" s="125" t="s">
        <v>60</v>
      </c>
      <c r="C18" s="125"/>
      <c r="E18" s="139">
        <v>2</v>
      </c>
      <c r="F18" s="140"/>
      <c r="G18" s="139">
        <v>3</v>
      </c>
      <c r="H18" s="140"/>
      <c r="I18" s="144">
        <v>3</v>
      </c>
      <c r="J18" s="145"/>
      <c r="K18" s="139">
        <v>2</v>
      </c>
      <c r="L18" s="140"/>
      <c r="M18" s="139">
        <v>3</v>
      </c>
      <c r="N18" s="140"/>
      <c r="O18" s="139">
        <v>1</v>
      </c>
      <c r="P18" s="140"/>
      <c r="Q18" s="139">
        <v>3</v>
      </c>
      <c r="R18" s="140"/>
    </row>
    <row r="19" spans="1:18" ht="63.75">
      <c r="A19" s="129" t="s">
        <v>9</v>
      </c>
      <c r="B19" s="119" t="s">
        <v>0</v>
      </c>
      <c r="C19" s="4" t="s">
        <v>94</v>
      </c>
      <c r="E19" s="3">
        <f>3-2</f>
        <v>1</v>
      </c>
      <c r="F19" s="3"/>
      <c r="G19" s="3">
        <v>3</v>
      </c>
      <c r="H19" s="3"/>
      <c r="I19" s="50">
        <f>3-2</f>
        <v>1</v>
      </c>
      <c r="J19" s="51"/>
      <c r="K19" s="25">
        <f>3-2</f>
        <v>1</v>
      </c>
      <c r="L19" s="26"/>
      <c r="M19" s="3">
        <f>3-2</f>
        <v>1</v>
      </c>
      <c r="N19" s="3"/>
      <c r="O19" s="3">
        <f>3-2</f>
        <v>1</v>
      </c>
      <c r="P19" s="3"/>
      <c r="Q19" s="3">
        <v>3</v>
      </c>
      <c r="R19" s="3"/>
    </row>
    <row r="20" spans="1:20" ht="25.5">
      <c r="A20" s="129"/>
      <c r="B20" s="119"/>
      <c r="C20" s="4" t="s">
        <v>67</v>
      </c>
      <c r="E20" s="3">
        <v>0.5</v>
      </c>
      <c r="F20" s="3"/>
      <c r="G20" s="3">
        <v>0.5</v>
      </c>
      <c r="H20" s="3"/>
      <c r="I20" s="50">
        <v>0.5</v>
      </c>
      <c r="J20" s="51"/>
      <c r="K20" s="25">
        <v>0.5</v>
      </c>
      <c r="L20" s="26"/>
      <c r="M20" s="3">
        <v>0.5</v>
      </c>
      <c r="N20" s="3"/>
      <c r="O20" s="3">
        <v>0.5</v>
      </c>
      <c r="P20" s="3"/>
      <c r="Q20" s="3">
        <v>0.5</v>
      </c>
      <c r="R20" s="3"/>
      <c r="T20" s="1">
        <f>350+131+50+49+216+116</f>
        <v>912</v>
      </c>
    </row>
    <row r="21" spans="1:20" ht="25.5">
      <c r="A21" s="129"/>
      <c r="B21" s="119"/>
      <c r="C21" s="4" t="s">
        <v>68</v>
      </c>
      <c r="E21" s="3">
        <v>0.5</v>
      </c>
      <c r="F21" s="3"/>
      <c r="G21" s="3">
        <v>0.5</v>
      </c>
      <c r="H21" s="3"/>
      <c r="I21" s="50">
        <v>0.5</v>
      </c>
      <c r="J21" s="51"/>
      <c r="K21" s="25">
        <v>0.5</v>
      </c>
      <c r="L21" s="26"/>
      <c r="M21" s="3">
        <v>0.5</v>
      </c>
      <c r="N21" s="3"/>
      <c r="O21" s="3">
        <v>0.5</v>
      </c>
      <c r="P21" s="3"/>
      <c r="Q21" s="3">
        <v>0.5</v>
      </c>
      <c r="R21" s="3"/>
      <c r="T21" s="1">
        <f>T20/6</f>
        <v>152</v>
      </c>
    </row>
    <row r="22" spans="1:18" ht="25.5">
      <c r="A22" s="129"/>
      <c r="B22" s="119" t="s">
        <v>1</v>
      </c>
      <c r="C22" s="4" t="s">
        <v>13</v>
      </c>
      <c r="E22" s="3">
        <v>0.5</v>
      </c>
      <c r="F22" s="3"/>
      <c r="G22" s="3">
        <v>1</v>
      </c>
      <c r="H22" s="3"/>
      <c r="I22" s="50">
        <v>1</v>
      </c>
      <c r="J22" s="51"/>
      <c r="K22" s="25">
        <v>0.5</v>
      </c>
      <c r="L22" s="26"/>
      <c r="M22" s="3">
        <v>1</v>
      </c>
      <c r="N22" s="3"/>
      <c r="O22" s="3">
        <v>1</v>
      </c>
      <c r="P22" s="3"/>
      <c r="Q22" s="3">
        <v>1</v>
      </c>
      <c r="R22" s="3"/>
    </row>
    <row r="23" spans="1:20" ht="25.5">
      <c r="A23" s="129"/>
      <c r="B23" s="119"/>
      <c r="C23" s="4" t="s">
        <v>70</v>
      </c>
      <c r="E23" s="3">
        <v>0</v>
      </c>
      <c r="F23" s="3"/>
      <c r="G23" s="3">
        <v>1.5</v>
      </c>
      <c r="H23" s="3"/>
      <c r="I23" s="50">
        <v>1.5</v>
      </c>
      <c r="J23" s="51"/>
      <c r="K23" s="25">
        <v>1</v>
      </c>
      <c r="L23" s="26"/>
      <c r="M23" s="3">
        <v>1.5</v>
      </c>
      <c r="N23" s="3"/>
      <c r="O23" s="3">
        <v>0</v>
      </c>
      <c r="P23" s="3"/>
      <c r="Q23" s="3">
        <v>1.5</v>
      </c>
      <c r="R23" s="3"/>
      <c r="T23" s="1">
        <f>T21*0.85</f>
        <v>129.2</v>
      </c>
    </row>
    <row r="24" spans="1:20" ht="25.5">
      <c r="A24" s="129"/>
      <c r="B24" s="119"/>
      <c r="C24" s="4" t="s">
        <v>69</v>
      </c>
      <c r="E24" s="3">
        <v>0</v>
      </c>
      <c r="F24" s="3"/>
      <c r="G24" s="3">
        <v>0.5</v>
      </c>
      <c r="H24" s="3"/>
      <c r="I24" s="50">
        <v>0</v>
      </c>
      <c r="J24" s="51"/>
      <c r="K24" s="25">
        <v>0.5</v>
      </c>
      <c r="L24" s="26"/>
      <c r="M24" s="3">
        <v>0</v>
      </c>
      <c r="N24" s="3"/>
      <c r="O24" s="3">
        <v>0.5</v>
      </c>
      <c r="P24" s="3"/>
      <c r="Q24" s="3">
        <v>0.5</v>
      </c>
      <c r="R24" s="3"/>
      <c r="T24" s="1">
        <f>T21*1.15</f>
        <v>174.79999999999998</v>
      </c>
    </row>
    <row r="25" spans="1:18" ht="25.5">
      <c r="A25" s="129"/>
      <c r="B25" s="119"/>
      <c r="C25" s="4" t="s">
        <v>14</v>
      </c>
      <c r="E25" s="3">
        <v>1</v>
      </c>
      <c r="F25" s="3"/>
      <c r="G25" s="3">
        <v>1</v>
      </c>
      <c r="H25" s="3"/>
      <c r="I25" s="50">
        <v>0.5</v>
      </c>
      <c r="J25" s="51"/>
      <c r="K25" s="25">
        <v>0.5</v>
      </c>
      <c r="L25" s="26"/>
      <c r="M25" s="3">
        <v>1</v>
      </c>
      <c r="N25" s="3"/>
      <c r="O25" s="3">
        <v>0</v>
      </c>
      <c r="P25" s="3"/>
      <c r="Q25" s="3">
        <v>1</v>
      </c>
      <c r="R25" s="3"/>
    </row>
    <row r="26" spans="1:18" ht="25.5">
      <c r="A26" s="129"/>
      <c r="B26" s="119" t="s">
        <v>2</v>
      </c>
      <c r="C26" s="4" t="s">
        <v>71</v>
      </c>
      <c r="E26" s="3">
        <v>0.5</v>
      </c>
      <c r="F26" s="3"/>
      <c r="G26" s="3">
        <v>0</v>
      </c>
      <c r="H26" s="3"/>
      <c r="I26" s="50">
        <v>0.5</v>
      </c>
      <c r="J26" s="51"/>
      <c r="K26" s="25">
        <v>0</v>
      </c>
      <c r="L26" s="26"/>
      <c r="M26" s="3">
        <v>0</v>
      </c>
      <c r="N26" s="3"/>
      <c r="O26" s="3">
        <v>0</v>
      </c>
      <c r="P26" s="3"/>
      <c r="Q26" s="3">
        <v>0.5</v>
      </c>
      <c r="R26" s="3"/>
    </row>
    <row r="27" spans="1:18" ht="25.5">
      <c r="A27" s="129"/>
      <c r="B27" s="119"/>
      <c r="C27" s="4" t="s">
        <v>72</v>
      </c>
      <c r="E27" s="3">
        <v>0.5</v>
      </c>
      <c r="F27" s="3"/>
      <c r="G27" s="3">
        <v>0.5</v>
      </c>
      <c r="H27" s="3"/>
      <c r="I27" s="50">
        <v>0.5</v>
      </c>
      <c r="J27" s="51"/>
      <c r="K27" s="25">
        <v>0.5</v>
      </c>
      <c r="L27" s="26"/>
      <c r="M27" s="3">
        <v>0.5</v>
      </c>
      <c r="N27" s="3"/>
      <c r="O27" s="3">
        <v>0.5</v>
      </c>
      <c r="P27" s="3"/>
      <c r="Q27" s="3">
        <v>0.5</v>
      </c>
      <c r="R27" s="3"/>
    </row>
    <row r="28" spans="1:18" ht="25.5">
      <c r="A28" s="129"/>
      <c r="B28" s="4" t="s">
        <v>10</v>
      </c>
      <c r="C28" s="4" t="s">
        <v>55</v>
      </c>
      <c r="E28" s="3">
        <v>0</v>
      </c>
      <c r="F28" s="3"/>
      <c r="G28" s="3">
        <v>0.5</v>
      </c>
      <c r="H28" s="3"/>
      <c r="I28" s="50">
        <v>0</v>
      </c>
      <c r="J28" s="51"/>
      <c r="K28" s="25">
        <v>0</v>
      </c>
      <c r="L28" s="26"/>
      <c r="M28" s="3">
        <v>0.5</v>
      </c>
      <c r="N28" s="3"/>
      <c r="O28" s="3">
        <v>0</v>
      </c>
      <c r="P28" s="3"/>
      <c r="Q28" s="3">
        <v>0.5</v>
      </c>
      <c r="R28" s="3"/>
    </row>
    <row r="29" spans="1:18" ht="25.5">
      <c r="A29" s="129"/>
      <c r="B29" s="3" t="s">
        <v>11</v>
      </c>
      <c r="C29" s="4" t="s">
        <v>15</v>
      </c>
      <c r="E29" s="3">
        <v>0</v>
      </c>
      <c r="F29" s="3"/>
      <c r="G29" s="3">
        <v>0</v>
      </c>
      <c r="H29" s="3"/>
      <c r="I29" s="50">
        <v>0.5</v>
      </c>
      <c r="J29" s="51"/>
      <c r="K29" s="25">
        <v>0</v>
      </c>
      <c r="L29" s="26"/>
      <c r="M29" s="3">
        <v>0.5</v>
      </c>
      <c r="N29" s="3"/>
      <c r="O29" s="3">
        <v>0</v>
      </c>
      <c r="P29" s="3"/>
      <c r="Q29" s="3">
        <v>0.5</v>
      </c>
      <c r="R29" s="3"/>
    </row>
    <row r="30" spans="1:18" ht="25.5" customHeight="1">
      <c r="A30" s="129"/>
      <c r="B30" s="129" t="s">
        <v>16</v>
      </c>
      <c r="C30" s="129"/>
      <c r="E30" s="3">
        <f>SUM(E19:E29)</f>
        <v>4.5</v>
      </c>
      <c r="F30" s="3"/>
      <c r="G30" s="3">
        <f>SUM(G19:G29)</f>
        <v>9</v>
      </c>
      <c r="H30" s="3"/>
      <c r="I30" s="50">
        <f>SUM(I19:I29)</f>
        <v>6.5</v>
      </c>
      <c r="J30" s="51"/>
      <c r="K30" s="25">
        <f>SUM(K19:K29)</f>
        <v>5</v>
      </c>
      <c r="L30" s="26"/>
      <c r="M30" s="3">
        <f>SUM(M19:M29)</f>
        <v>7</v>
      </c>
      <c r="N30" s="3"/>
      <c r="O30" s="3">
        <f>SUM(O19:O29)</f>
        <v>4</v>
      </c>
      <c r="P30" s="3"/>
      <c r="Q30" s="3">
        <f>SUM(Q19:Q29)</f>
        <v>10</v>
      </c>
      <c r="R30" s="3"/>
    </row>
    <row r="31" spans="1:19" ht="38.25" customHeight="1">
      <c r="A31" s="129"/>
      <c r="B31" s="125" t="s">
        <v>17</v>
      </c>
      <c r="C31" s="125"/>
      <c r="E31" s="5">
        <f>(E30*30)/100</f>
        <v>1.35</v>
      </c>
      <c r="F31" s="5"/>
      <c r="G31" s="5">
        <f>(G30*30)/100</f>
        <v>2.7</v>
      </c>
      <c r="H31" s="5"/>
      <c r="I31" s="54">
        <f>(I30*30)/100</f>
        <v>1.95</v>
      </c>
      <c r="J31" s="55"/>
      <c r="K31" s="36">
        <f>(K30*30)/100</f>
        <v>1.5</v>
      </c>
      <c r="L31" s="37"/>
      <c r="M31" s="5">
        <f>(M30*30)/100</f>
        <v>2.1</v>
      </c>
      <c r="N31" s="5"/>
      <c r="O31" s="5">
        <f>(O30*30)/100</f>
        <v>1.2</v>
      </c>
      <c r="P31" s="5"/>
      <c r="Q31" s="5">
        <f>(Q30*30)/100</f>
        <v>3</v>
      </c>
      <c r="R31" s="5"/>
      <c r="S31" s="28"/>
    </row>
    <row r="32" spans="5:18" ht="12.75">
      <c r="E32" s="3"/>
      <c r="F32" s="3"/>
      <c r="G32" s="3"/>
      <c r="H32" s="3"/>
      <c r="I32" s="50"/>
      <c r="J32" s="51"/>
      <c r="K32" s="25"/>
      <c r="L32" s="26"/>
      <c r="M32" s="3"/>
      <c r="N32" s="3"/>
      <c r="O32" s="3"/>
      <c r="P32" s="3"/>
      <c r="Q32" s="3"/>
      <c r="R32" s="3"/>
    </row>
    <row r="33" spans="1:18" ht="29.25" customHeight="1">
      <c r="A33" s="127" t="s">
        <v>56</v>
      </c>
      <c r="B33" s="128"/>
      <c r="C33" s="128"/>
      <c r="E33" s="133">
        <f>E31+E18+E13</f>
        <v>3.681034482758621</v>
      </c>
      <c r="F33" s="107"/>
      <c r="G33" s="133">
        <f>G31+G18+G13</f>
        <v>6.5549618320610685</v>
      </c>
      <c r="H33" s="107"/>
      <c r="I33" s="103">
        <f>I31+I18+I13</f>
        <v>7.772398871040451</v>
      </c>
      <c r="J33" s="104"/>
      <c r="K33" s="133">
        <f>K31+K18+K13</f>
        <v>7.5</v>
      </c>
      <c r="L33" s="107"/>
      <c r="M33" s="133">
        <f>M31+M18+M13</f>
        <v>5.683333333333333</v>
      </c>
      <c r="N33" s="107"/>
      <c r="O33" s="141">
        <f>O31+O18+O13</f>
        <v>13.399999999999999</v>
      </c>
      <c r="P33" s="143"/>
      <c r="Q33" s="133">
        <f>Q31+Q18+Q13</f>
        <v>7.069496021220159</v>
      </c>
      <c r="R33" s="107"/>
    </row>
    <row r="34" spans="1:18" s="18" customFormat="1" ht="12" customHeight="1">
      <c r="A34" s="16"/>
      <c r="B34" s="17"/>
      <c r="C34" s="17"/>
      <c r="E34" s="19"/>
      <c r="F34" s="19"/>
      <c r="G34" s="19"/>
      <c r="H34" s="19"/>
      <c r="I34" s="56"/>
      <c r="J34" s="56"/>
      <c r="K34" s="19"/>
      <c r="L34" s="19"/>
      <c r="M34" s="19"/>
      <c r="N34" s="19"/>
      <c r="O34" s="35"/>
      <c r="P34" s="35"/>
      <c r="Q34" s="19"/>
      <c r="R34" s="19"/>
    </row>
    <row r="35" spans="1:18" ht="29.25" customHeight="1">
      <c r="A35" s="127" t="s">
        <v>42</v>
      </c>
      <c r="B35" s="128"/>
      <c r="C35" s="128"/>
      <c r="E35" s="133">
        <f>E31+E18+E14</f>
        <v>3.6759762308998303</v>
      </c>
      <c r="F35" s="106"/>
      <c r="G35" s="133">
        <f>G31+G18+G14</f>
        <v>6.892758253461129</v>
      </c>
      <c r="H35" s="106"/>
      <c r="I35" s="103">
        <f>I31+I18+I14</f>
        <v>7.638</v>
      </c>
      <c r="J35" s="102"/>
      <c r="K35" s="133">
        <f>K31+K18+K14</f>
        <v>7.5</v>
      </c>
      <c r="L35" s="106"/>
      <c r="M35" s="133">
        <f>M31+M18+M14</f>
        <v>5.829166666666667</v>
      </c>
      <c r="N35" s="106"/>
      <c r="O35" s="141">
        <f>O31+O18+O14</f>
        <v>19</v>
      </c>
      <c r="P35" s="142"/>
      <c r="Q35" s="133">
        <f>Q31+Q18+Q14</f>
        <v>7.308666017526777</v>
      </c>
      <c r="R35" s="106"/>
    </row>
  </sheetData>
  <mergeCells count="86">
    <mergeCell ref="Q12:R12"/>
    <mergeCell ref="I14:J14"/>
    <mergeCell ref="K14:L14"/>
    <mergeCell ref="I17:J17"/>
    <mergeCell ref="K17:L17"/>
    <mergeCell ref="Q17:R17"/>
    <mergeCell ref="M17:N17"/>
    <mergeCell ref="O17:P17"/>
    <mergeCell ref="I12:J12"/>
    <mergeCell ref="K12:L12"/>
    <mergeCell ref="M12:N12"/>
    <mergeCell ref="O12:P12"/>
    <mergeCell ref="Q33:R33"/>
    <mergeCell ref="I33:J33"/>
    <mergeCell ref="K33:L33"/>
    <mergeCell ref="Q14:R14"/>
    <mergeCell ref="I18:J18"/>
    <mergeCell ref="K18:L18"/>
    <mergeCell ref="Q18:R18"/>
    <mergeCell ref="M18:N18"/>
    <mergeCell ref="O18:P18"/>
    <mergeCell ref="Q35:R35"/>
    <mergeCell ref="I35:J35"/>
    <mergeCell ref="K35:L35"/>
    <mergeCell ref="M35:N35"/>
    <mergeCell ref="O35:P35"/>
    <mergeCell ref="M33:N33"/>
    <mergeCell ref="O33:P33"/>
    <mergeCell ref="G14:H14"/>
    <mergeCell ref="E33:F33"/>
    <mergeCell ref="I16:J16"/>
    <mergeCell ref="K16:L16"/>
    <mergeCell ref="G16:H16"/>
    <mergeCell ref="M16:N16"/>
    <mergeCell ref="O16:P16"/>
    <mergeCell ref="M14:N14"/>
    <mergeCell ref="O14:P14"/>
    <mergeCell ref="E35:F35"/>
    <mergeCell ref="G33:H33"/>
    <mergeCell ref="G35:H35"/>
    <mergeCell ref="E17:F17"/>
    <mergeCell ref="E18:F18"/>
    <mergeCell ref="G17:H17"/>
    <mergeCell ref="G18:H18"/>
    <mergeCell ref="A33:C33"/>
    <mergeCell ref="A35:C35"/>
    <mergeCell ref="G6:H6"/>
    <mergeCell ref="A19:A31"/>
    <mergeCell ref="B19:B21"/>
    <mergeCell ref="B22:B25"/>
    <mergeCell ref="B26:B27"/>
    <mergeCell ref="B30:C30"/>
    <mergeCell ref="B31:C31"/>
    <mergeCell ref="A17:A18"/>
    <mergeCell ref="B17:C17"/>
    <mergeCell ref="E14:F14"/>
    <mergeCell ref="B18:C18"/>
    <mergeCell ref="B15:C15"/>
    <mergeCell ref="B16:C16"/>
    <mergeCell ref="E16:F16"/>
    <mergeCell ref="Q6:R6"/>
    <mergeCell ref="O5:P5"/>
    <mergeCell ref="Q5:R5"/>
    <mergeCell ref="K6:L6"/>
    <mergeCell ref="M6:N6"/>
    <mergeCell ref="I5:J5"/>
    <mergeCell ref="K5:L5"/>
    <mergeCell ref="M5:N5"/>
    <mergeCell ref="O6:P6"/>
    <mergeCell ref="I6:J6"/>
    <mergeCell ref="B10:C10"/>
    <mergeCell ref="B11:C11"/>
    <mergeCell ref="B12:C12"/>
    <mergeCell ref="G5:H5"/>
    <mergeCell ref="E12:F12"/>
    <mergeCell ref="G12:H12"/>
    <mergeCell ref="Q16:R16"/>
    <mergeCell ref="A15:A16"/>
    <mergeCell ref="O3:P4"/>
    <mergeCell ref="E5:F5"/>
    <mergeCell ref="E6:F6"/>
    <mergeCell ref="A8:A14"/>
    <mergeCell ref="B14:C14"/>
    <mergeCell ref="B13:C13"/>
    <mergeCell ref="B8:C8"/>
    <mergeCell ref="B9:C9"/>
  </mergeCells>
  <printOptions/>
  <pageMargins left="0.3937007874015748" right="0.3937007874015748" top="0.7874015748031497" bottom="0.7874015748031497" header="0.5118110236220472" footer="0.5118110236220472"/>
  <pageSetup fitToWidth="0" fitToHeight="1" horizontalDpi="600" verticalDpi="600" orientation="landscape" paperSize="9" scale="60" r:id="rId1"/>
  <headerFooter alignWithMargins="0">
    <oddHeader>&amp;CClassement DPE Savoie
LOT N°2</oddHeader>
    <oddFooter>&amp;LLot N°2 DPE&amp;R&amp;P sur &amp;N</oddFooter>
  </headerFooter>
  <colBreaks count="2" manualBreakCount="2">
    <brk id="10" max="65535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85" zoomScaleNormal="50" zoomScaleSheetLayoutView="85" workbookViewId="0" topLeftCell="A1">
      <pane xSplit="4" ySplit="7" topLeftCell="J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2" sqref="A12:IV12"/>
    </sheetView>
  </sheetViews>
  <sheetFormatPr defaultColWidth="11.421875" defaultRowHeight="12.75"/>
  <cols>
    <col min="1" max="1" width="13.28125" style="1" customWidth="1"/>
    <col min="2" max="2" width="19.57421875" style="1" customWidth="1"/>
    <col min="3" max="3" width="22.57421875" style="1" customWidth="1"/>
    <col min="4" max="4" width="3.140625" style="1" customWidth="1"/>
    <col min="5" max="16" width="25.7109375" style="1" customWidth="1"/>
    <col min="17" max="16384" width="11.421875" style="1" customWidth="1"/>
  </cols>
  <sheetData>
    <row r="1" spans="1:7" ht="13.5" thickBot="1">
      <c r="A1" s="6" t="s">
        <v>31</v>
      </c>
      <c r="B1" s="7"/>
      <c r="C1" s="7"/>
      <c r="D1" s="8"/>
      <c r="E1" s="8"/>
      <c r="F1" s="59">
        <v>7415.2</v>
      </c>
      <c r="G1" s="9" t="s">
        <v>26</v>
      </c>
    </row>
    <row r="2" ht="13.5" thickBot="1">
      <c r="F2" s="60"/>
    </row>
    <row r="3" spans="1:8" ht="13.5" thickBot="1">
      <c r="A3" s="6" t="s">
        <v>32</v>
      </c>
      <c r="B3" s="7"/>
      <c r="C3" s="7"/>
      <c r="D3" s="8"/>
      <c r="E3" s="8"/>
      <c r="F3" s="59">
        <v>12558</v>
      </c>
      <c r="G3" s="9" t="s">
        <v>26</v>
      </c>
      <c r="H3" s="70">
        <f>SUM(F1:F3)</f>
        <v>19973.2</v>
      </c>
    </row>
    <row r="4" spans="1:7" ht="12.75">
      <c r="A4" s="10"/>
      <c r="B4" s="11"/>
      <c r="C4" s="11"/>
      <c r="D4" s="12"/>
      <c r="E4" s="12"/>
      <c r="F4" s="13"/>
      <c r="G4" s="14"/>
    </row>
    <row r="5" spans="2:16" ht="19.5" customHeight="1">
      <c r="B5" s="2"/>
      <c r="E5" s="111" t="s">
        <v>80</v>
      </c>
      <c r="F5" s="112"/>
      <c r="G5" s="111" t="s">
        <v>84</v>
      </c>
      <c r="H5" s="112"/>
      <c r="I5" s="111" t="s">
        <v>43</v>
      </c>
      <c r="J5" s="112"/>
      <c r="K5" s="156" t="s">
        <v>48</v>
      </c>
      <c r="L5" s="157"/>
      <c r="M5" s="111" t="s">
        <v>87</v>
      </c>
      <c r="N5" s="112"/>
      <c r="O5" s="113" t="s">
        <v>50</v>
      </c>
      <c r="P5" s="114"/>
    </row>
    <row r="6" spans="5:16" ht="19.5" customHeight="1">
      <c r="E6" s="115" t="s">
        <v>81</v>
      </c>
      <c r="F6" s="116"/>
      <c r="G6" s="115" t="s">
        <v>85</v>
      </c>
      <c r="H6" s="116"/>
      <c r="I6" s="115" t="s">
        <v>18</v>
      </c>
      <c r="J6" s="116"/>
      <c r="K6" s="154" t="s">
        <v>23</v>
      </c>
      <c r="L6" s="155"/>
      <c r="M6" s="115" t="s">
        <v>88</v>
      </c>
      <c r="N6" s="116"/>
      <c r="O6" s="117" t="s">
        <v>89</v>
      </c>
      <c r="P6" s="118"/>
    </row>
    <row r="7" spans="5:16" ht="19.5" customHeight="1">
      <c r="E7" s="3" t="s">
        <v>35</v>
      </c>
      <c r="F7" s="15" t="s">
        <v>36</v>
      </c>
      <c r="G7" s="3" t="s">
        <v>35</v>
      </c>
      <c r="H7" s="15" t="s">
        <v>36</v>
      </c>
      <c r="I7" s="3" t="s">
        <v>35</v>
      </c>
      <c r="J7" s="15" t="s">
        <v>36</v>
      </c>
      <c r="K7" s="61" t="s">
        <v>35</v>
      </c>
      <c r="L7" s="62" t="s">
        <v>36</v>
      </c>
      <c r="M7" s="3" t="s">
        <v>35</v>
      </c>
      <c r="N7" s="15" t="s">
        <v>36</v>
      </c>
      <c r="O7" s="45" t="s">
        <v>35</v>
      </c>
      <c r="P7" s="46" t="s">
        <v>36</v>
      </c>
    </row>
    <row r="8" spans="1:16" s="29" customFormat="1" ht="15" customHeight="1">
      <c r="A8" s="119" t="s">
        <v>6</v>
      </c>
      <c r="B8" s="135" t="s">
        <v>3</v>
      </c>
      <c r="C8" s="135"/>
      <c r="E8" s="30">
        <v>5530</v>
      </c>
      <c r="F8" s="32">
        <v>7560</v>
      </c>
      <c r="G8" s="30">
        <v>5600</v>
      </c>
      <c r="H8" s="32">
        <v>9100</v>
      </c>
      <c r="I8" s="30">
        <v>4800</v>
      </c>
      <c r="J8" s="32">
        <v>14400</v>
      </c>
      <c r="K8" s="63">
        <v>1900</v>
      </c>
      <c r="L8" s="64">
        <v>5400</v>
      </c>
      <c r="M8" s="30">
        <v>1600</v>
      </c>
      <c r="N8" s="32">
        <v>3200</v>
      </c>
      <c r="O8" s="57">
        <v>6400</v>
      </c>
      <c r="P8" s="58">
        <v>9700</v>
      </c>
    </row>
    <row r="9" spans="1:16" ht="15" customHeight="1">
      <c r="A9" s="119"/>
      <c r="B9" s="120" t="s">
        <v>4</v>
      </c>
      <c r="C9" s="120"/>
      <c r="E9" s="3">
        <f>E8*0.196</f>
        <v>1083.88</v>
      </c>
      <c r="F9" s="3">
        <f>F8*0.196</f>
        <v>1481.76</v>
      </c>
      <c r="G9" s="3">
        <f aca="true" t="shared" si="0" ref="G9:P9">G8*0.196</f>
        <v>1097.6000000000001</v>
      </c>
      <c r="H9" s="3">
        <f t="shared" si="0"/>
        <v>1783.6000000000001</v>
      </c>
      <c r="I9" s="3">
        <f t="shared" si="0"/>
        <v>940.8000000000001</v>
      </c>
      <c r="J9" s="3">
        <f t="shared" si="0"/>
        <v>2822.4</v>
      </c>
      <c r="K9" s="61">
        <f>K8*0.196</f>
        <v>372.40000000000003</v>
      </c>
      <c r="L9" s="61">
        <f>L8*0.196</f>
        <v>1058.4</v>
      </c>
      <c r="M9" s="3">
        <f t="shared" si="0"/>
        <v>313.6</v>
      </c>
      <c r="N9" s="3">
        <f t="shared" si="0"/>
        <v>627.2</v>
      </c>
      <c r="O9" s="45">
        <f t="shared" si="0"/>
        <v>1254.4</v>
      </c>
      <c r="P9" s="45">
        <f t="shared" si="0"/>
        <v>1901.2</v>
      </c>
    </row>
    <row r="10" spans="1:16" ht="15" customHeight="1">
      <c r="A10" s="119"/>
      <c r="B10" s="120" t="s">
        <v>5</v>
      </c>
      <c r="C10" s="120"/>
      <c r="E10" s="3">
        <f>E8*1.196</f>
        <v>6613.88</v>
      </c>
      <c r="F10" s="3">
        <f>F8*1.196</f>
        <v>9041.76</v>
      </c>
      <c r="G10" s="3">
        <f aca="true" t="shared" si="1" ref="G10:P10">G8*1.196</f>
        <v>6697.599999999999</v>
      </c>
      <c r="H10" s="3">
        <f t="shared" si="1"/>
        <v>10883.6</v>
      </c>
      <c r="I10" s="3">
        <f t="shared" si="1"/>
        <v>5740.8</v>
      </c>
      <c r="J10" s="3">
        <f t="shared" si="1"/>
        <v>17222.399999999998</v>
      </c>
      <c r="K10" s="61">
        <f>K8*1.196</f>
        <v>2272.4</v>
      </c>
      <c r="L10" s="61">
        <f>L8*1.196</f>
        <v>6458.4</v>
      </c>
      <c r="M10" s="3">
        <f t="shared" si="1"/>
        <v>1913.6</v>
      </c>
      <c r="N10" s="3">
        <f t="shared" si="1"/>
        <v>3827.2</v>
      </c>
      <c r="O10" s="45">
        <f t="shared" si="1"/>
        <v>7654.4</v>
      </c>
      <c r="P10" s="45">
        <f t="shared" si="1"/>
        <v>11601.199999999999</v>
      </c>
    </row>
    <row r="11" spans="1:16" ht="15" customHeight="1">
      <c r="A11" s="119"/>
      <c r="B11" s="120" t="s">
        <v>38</v>
      </c>
      <c r="C11" s="120"/>
      <c r="E11" s="3"/>
      <c r="F11" s="3"/>
      <c r="G11" s="3"/>
      <c r="H11" s="3"/>
      <c r="I11" s="3"/>
      <c r="J11" s="3"/>
      <c r="K11" s="61"/>
      <c r="L11" s="61"/>
      <c r="M11" s="3"/>
      <c r="N11" s="3"/>
      <c r="O11" s="45"/>
      <c r="P11" s="45"/>
    </row>
    <row r="12" spans="1:16" ht="15" customHeight="1">
      <c r="A12" s="119"/>
      <c r="B12" s="120" t="s">
        <v>37</v>
      </c>
      <c r="C12" s="120"/>
      <c r="E12" s="105"/>
      <c r="F12" s="106"/>
      <c r="G12" s="105"/>
      <c r="H12" s="106"/>
      <c r="I12" s="105"/>
      <c r="J12" s="106"/>
      <c r="K12" s="146"/>
      <c r="L12" s="147"/>
      <c r="M12" s="105"/>
      <c r="N12" s="106"/>
      <c r="O12" s="101"/>
      <c r="P12" s="102"/>
    </row>
    <row r="13" spans="1:16" ht="27" customHeight="1">
      <c r="A13" s="119"/>
      <c r="B13" s="109" t="s">
        <v>40</v>
      </c>
      <c r="C13" s="110"/>
      <c r="E13" s="23">
        <f>($M$8/E8)*4</f>
        <v>1.1573236889692586</v>
      </c>
      <c r="F13" s="20">
        <f>($N$8/F8)*4</f>
        <v>1.693121693121693</v>
      </c>
      <c r="G13" s="23">
        <f>($M$8/G8)*4</f>
        <v>1.1428571428571428</v>
      </c>
      <c r="H13" s="20">
        <f>($N$8/H8)*4</f>
        <v>1.4065934065934067</v>
      </c>
      <c r="I13" s="23">
        <f>($M$8/I8)*4</f>
        <v>1.3333333333333333</v>
      </c>
      <c r="J13" s="20">
        <f>($N$8/J8)*4</f>
        <v>0.8888888888888888</v>
      </c>
      <c r="K13" s="65">
        <f>(2520/K8)*4</f>
        <v>5.3052631578947365</v>
      </c>
      <c r="L13" s="66">
        <f>(5880/L8)*4</f>
        <v>4.355555555555555</v>
      </c>
      <c r="M13" s="23">
        <f>($M$8/M8)*4</f>
        <v>4</v>
      </c>
      <c r="N13" s="20">
        <f>($N$8/N8)*4</f>
        <v>4</v>
      </c>
      <c r="O13" s="52">
        <f>($M$8/O8)*4</f>
        <v>1</v>
      </c>
      <c r="P13" s="47">
        <f>($N$8/P8)*4</f>
        <v>1.3195876288659794</v>
      </c>
    </row>
    <row r="14" spans="1:16" ht="24" customHeight="1">
      <c r="A14" s="119"/>
      <c r="B14" s="109" t="s">
        <v>39</v>
      </c>
      <c r="C14" s="110"/>
      <c r="E14" s="148">
        <f>(($M$8+$N$8)/(E8+F8))*4</f>
        <v>1.466768525592055</v>
      </c>
      <c r="F14" s="149"/>
      <c r="G14" s="148">
        <f>(($M$8+$N$8)/(G8+H8))*4</f>
        <v>1.3061224489795917</v>
      </c>
      <c r="H14" s="149"/>
      <c r="I14" s="148">
        <f>(($M$8+$N$8)/(I8+J8))*4</f>
        <v>1</v>
      </c>
      <c r="J14" s="149"/>
      <c r="K14" s="152">
        <f>((2520+5880)/(K8+L8))*4</f>
        <v>4.602739726027397</v>
      </c>
      <c r="L14" s="153"/>
      <c r="M14" s="148">
        <f>(($M$8+$N$8)/(M8+N8))*4</f>
        <v>4</v>
      </c>
      <c r="N14" s="149"/>
      <c r="O14" s="150">
        <f>(($M$8+$N$8)/(O8+P8))*4</f>
        <v>1.1925465838509317</v>
      </c>
      <c r="P14" s="151"/>
    </row>
    <row r="15" spans="1:18" ht="24" customHeight="1">
      <c r="A15" s="130" t="s">
        <v>52</v>
      </c>
      <c r="B15" s="108" t="s">
        <v>95</v>
      </c>
      <c r="C15" s="100"/>
      <c r="E15" s="3">
        <v>15</v>
      </c>
      <c r="F15" s="3">
        <v>33</v>
      </c>
      <c r="G15" s="3">
        <v>19</v>
      </c>
      <c r="H15" s="3" t="s">
        <v>86</v>
      </c>
      <c r="I15" s="3">
        <v>32</v>
      </c>
      <c r="J15" s="3">
        <v>88</v>
      </c>
      <c r="K15" s="61">
        <v>8</v>
      </c>
      <c r="L15" s="61">
        <v>21</v>
      </c>
      <c r="M15" s="3">
        <v>20</v>
      </c>
      <c r="N15" s="3">
        <v>36</v>
      </c>
      <c r="O15" s="45">
        <v>80</v>
      </c>
      <c r="P15" s="45">
        <v>116</v>
      </c>
      <c r="R15" s="1">
        <f>AVERAGE(O15,M15,I15,G15,E15)</f>
        <v>33.2</v>
      </c>
    </row>
    <row r="16" spans="1:18" ht="18.75" customHeight="1">
      <c r="A16" s="132"/>
      <c r="B16" s="108" t="s">
        <v>96</v>
      </c>
      <c r="C16" s="100"/>
      <c r="E16" s="105">
        <f>E15+F15</f>
        <v>48</v>
      </c>
      <c r="F16" s="106"/>
      <c r="G16" s="105" t="e">
        <f>G15+H15</f>
        <v>#VALUE!</v>
      </c>
      <c r="H16" s="106"/>
      <c r="I16" s="105">
        <f>I15+J15</f>
        <v>120</v>
      </c>
      <c r="J16" s="106"/>
      <c r="K16" s="146">
        <f>K15+L15</f>
        <v>29</v>
      </c>
      <c r="L16" s="147"/>
      <c r="M16" s="105">
        <f>M15+N15</f>
        <v>56</v>
      </c>
      <c r="N16" s="106"/>
      <c r="O16" s="101">
        <f>O15+P15</f>
        <v>196</v>
      </c>
      <c r="P16" s="102"/>
      <c r="R16" s="1">
        <f>R15*0.85</f>
        <v>28.220000000000002</v>
      </c>
    </row>
    <row r="17" spans="1:16" ht="38.25" customHeight="1">
      <c r="A17" s="129" t="s">
        <v>61</v>
      </c>
      <c r="B17" s="129" t="s">
        <v>7</v>
      </c>
      <c r="C17" s="129"/>
      <c r="E17" s="3">
        <v>2</v>
      </c>
      <c r="F17" s="3"/>
      <c r="G17" s="3">
        <v>3</v>
      </c>
      <c r="H17" s="3"/>
      <c r="I17" s="25">
        <v>1</v>
      </c>
      <c r="J17" s="26"/>
      <c r="K17" s="61">
        <v>3</v>
      </c>
      <c r="L17" s="61"/>
      <c r="M17" s="25">
        <v>1.5</v>
      </c>
      <c r="N17" s="26"/>
      <c r="O17" s="50">
        <v>3</v>
      </c>
      <c r="P17" s="51"/>
    </row>
    <row r="18" spans="1:16" ht="25.5" customHeight="1">
      <c r="A18" s="129"/>
      <c r="B18" s="125" t="s">
        <v>8</v>
      </c>
      <c r="C18" s="125"/>
      <c r="E18" s="5">
        <v>2</v>
      </c>
      <c r="F18" s="3"/>
      <c r="G18" s="5">
        <v>3</v>
      </c>
      <c r="H18" s="3"/>
      <c r="I18" s="36">
        <v>1</v>
      </c>
      <c r="J18" s="26"/>
      <c r="K18" s="67">
        <v>3</v>
      </c>
      <c r="L18" s="61"/>
      <c r="M18" s="36">
        <v>1.5</v>
      </c>
      <c r="N18" s="26"/>
      <c r="O18" s="54">
        <v>3</v>
      </c>
      <c r="P18" s="51"/>
    </row>
    <row r="19" spans="1:16" ht="76.5">
      <c r="A19" s="129" t="s">
        <v>9</v>
      </c>
      <c r="B19" s="119" t="s">
        <v>0</v>
      </c>
      <c r="C19" s="43" t="s">
        <v>98</v>
      </c>
      <c r="E19" s="3">
        <v>1</v>
      </c>
      <c r="F19" s="3"/>
      <c r="G19" s="3">
        <v>1</v>
      </c>
      <c r="H19" s="3"/>
      <c r="I19" s="25">
        <v>2</v>
      </c>
      <c r="J19" s="26"/>
      <c r="K19" s="61">
        <v>1</v>
      </c>
      <c r="L19" s="61"/>
      <c r="M19" s="25">
        <v>1</v>
      </c>
      <c r="N19" s="26"/>
      <c r="O19" s="50">
        <v>3</v>
      </c>
      <c r="P19" s="51"/>
    </row>
    <row r="20" spans="1:16" ht="25.5">
      <c r="A20" s="129"/>
      <c r="B20" s="119"/>
      <c r="C20" s="4" t="s">
        <v>67</v>
      </c>
      <c r="E20" s="3">
        <v>0.5</v>
      </c>
      <c r="F20" s="3"/>
      <c r="G20" s="3">
        <v>0.5</v>
      </c>
      <c r="H20" s="3"/>
      <c r="I20" s="25">
        <v>0.5</v>
      </c>
      <c r="J20" s="26"/>
      <c r="K20" s="61">
        <v>0.5</v>
      </c>
      <c r="L20" s="61"/>
      <c r="M20" s="25">
        <v>0.5</v>
      </c>
      <c r="N20" s="26"/>
      <c r="O20" s="50">
        <v>0.5</v>
      </c>
      <c r="P20" s="51"/>
    </row>
    <row r="21" spans="1:16" ht="25.5">
      <c r="A21" s="129"/>
      <c r="B21" s="119"/>
      <c r="C21" s="4" t="s">
        <v>12</v>
      </c>
      <c r="E21" s="3">
        <v>0.5</v>
      </c>
      <c r="F21" s="3"/>
      <c r="G21" s="3">
        <v>0.5</v>
      </c>
      <c r="H21" s="3"/>
      <c r="I21" s="25">
        <v>0.5</v>
      </c>
      <c r="J21" s="26"/>
      <c r="K21" s="61">
        <v>1</v>
      </c>
      <c r="L21" s="61"/>
      <c r="M21" s="25">
        <v>0</v>
      </c>
      <c r="N21" s="26"/>
      <c r="O21" s="50">
        <v>1</v>
      </c>
      <c r="P21" s="51"/>
    </row>
    <row r="22" spans="1:16" ht="25.5">
      <c r="A22" s="129"/>
      <c r="B22" s="119" t="s">
        <v>1</v>
      </c>
      <c r="C22" s="4" t="s">
        <v>13</v>
      </c>
      <c r="E22" s="3">
        <v>0.5</v>
      </c>
      <c r="F22" s="3"/>
      <c r="G22" s="3">
        <v>0.5</v>
      </c>
      <c r="H22" s="3"/>
      <c r="I22" s="25">
        <v>0.5</v>
      </c>
      <c r="J22" s="26"/>
      <c r="K22" s="61">
        <v>1</v>
      </c>
      <c r="L22" s="61"/>
      <c r="M22" s="25">
        <v>1</v>
      </c>
      <c r="N22" s="26"/>
      <c r="O22" s="50">
        <v>1</v>
      </c>
      <c r="P22" s="51"/>
    </row>
    <row r="23" spans="1:16" ht="25.5">
      <c r="A23" s="129"/>
      <c r="B23" s="119"/>
      <c r="C23" s="4" t="s">
        <v>82</v>
      </c>
      <c r="E23" s="3">
        <v>0</v>
      </c>
      <c r="F23" s="3"/>
      <c r="G23" s="3">
        <v>0</v>
      </c>
      <c r="H23" s="3"/>
      <c r="I23" s="25">
        <v>0</v>
      </c>
      <c r="J23" s="26"/>
      <c r="K23" s="61">
        <v>1</v>
      </c>
      <c r="L23" s="61"/>
      <c r="M23" s="25">
        <v>0</v>
      </c>
      <c r="N23" s="26"/>
      <c r="O23" s="50">
        <v>0.5</v>
      </c>
      <c r="P23" s="51"/>
    </row>
    <row r="24" spans="1:16" ht="25.5">
      <c r="A24" s="129"/>
      <c r="B24" s="119"/>
      <c r="C24" s="4" t="s">
        <v>69</v>
      </c>
      <c r="E24" s="3">
        <v>0</v>
      </c>
      <c r="F24" s="3"/>
      <c r="G24" s="3">
        <v>0</v>
      </c>
      <c r="H24" s="3"/>
      <c r="I24" s="25">
        <v>0</v>
      </c>
      <c r="J24" s="26"/>
      <c r="K24" s="61">
        <v>0</v>
      </c>
      <c r="L24" s="61"/>
      <c r="M24" s="25">
        <v>0.5</v>
      </c>
      <c r="N24" s="26"/>
      <c r="O24" s="50">
        <v>0.5</v>
      </c>
      <c r="P24" s="51"/>
    </row>
    <row r="25" spans="1:16" ht="25.5">
      <c r="A25" s="129"/>
      <c r="B25" s="119"/>
      <c r="C25" s="4" t="s">
        <v>14</v>
      </c>
      <c r="E25" s="3">
        <v>0.5</v>
      </c>
      <c r="F25" s="3"/>
      <c r="G25" s="3">
        <v>1</v>
      </c>
      <c r="H25" s="3"/>
      <c r="I25" s="25">
        <v>1</v>
      </c>
      <c r="J25" s="26"/>
      <c r="K25" s="61">
        <v>1</v>
      </c>
      <c r="L25" s="61"/>
      <c r="M25" s="25">
        <v>0</v>
      </c>
      <c r="N25" s="26"/>
      <c r="O25" s="50">
        <v>1</v>
      </c>
      <c r="P25" s="51"/>
    </row>
    <row r="26" spans="1:16" ht="25.5">
      <c r="A26" s="129"/>
      <c r="B26" s="119" t="s">
        <v>2</v>
      </c>
      <c r="C26" s="4" t="s">
        <v>71</v>
      </c>
      <c r="E26" s="3">
        <v>0</v>
      </c>
      <c r="F26" s="3"/>
      <c r="G26" s="3">
        <v>0</v>
      </c>
      <c r="H26" s="3"/>
      <c r="I26" s="25">
        <v>0.5</v>
      </c>
      <c r="J26" s="26"/>
      <c r="K26" s="61">
        <v>0</v>
      </c>
      <c r="L26" s="61"/>
      <c r="M26" s="25">
        <v>0</v>
      </c>
      <c r="N26" s="26"/>
      <c r="O26" s="50">
        <v>0.5</v>
      </c>
      <c r="P26" s="51"/>
    </row>
    <row r="27" spans="1:16" ht="25.5">
      <c r="A27" s="129"/>
      <c r="B27" s="119"/>
      <c r="C27" s="4" t="s">
        <v>72</v>
      </c>
      <c r="E27" s="3">
        <v>1</v>
      </c>
      <c r="F27" s="3"/>
      <c r="G27" s="3">
        <v>0</v>
      </c>
      <c r="H27" s="3"/>
      <c r="I27" s="25">
        <v>0.5</v>
      </c>
      <c r="J27" s="26"/>
      <c r="K27" s="61">
        <v>0</v>
      </c>
      <c r="L27" s="61"/>
      <c r="M27" s="25">
        <v>0.5</v>
      </c>
      <c r="N27" s="26"/>
      <c r="O27" s="50">
        <v>0.5</v>
      </c>
      <c r="P27" s="51"/>
    </row>
    <row r="28" spans="1:16" ht="25.5">
      <c r="A28" s="129"/>
      <c r="B28" s="4" t="s">
        <v>10</v>
      </c>
      <c r="C28" s="4" t="s">
        <v>83</v>
      </c>
      <c r="E28" s="3">
        <v>0.5</v>
      </c>
      <c r="F28" s="3"/>
      <c r="G28" s="3">
        <v>1</v>
      </c>
      <c r="H28" s="3"/>
      <c r="I28" s="25">
        <v>0</v>
      </c>
      <c r="J28" s="26"/>
      <c r="K28" s="61">
        <v>1</v>
      </c>
      <c r="L28" s="61"/>
      <c r="M28" s="25">
        <v>0</v>
      </c>
      <c r="N28" s="26"/>
      <c r="O28" s="50">
        <v>1</v>
      </c>
      <c r="P28" s="51"/>
    </row>
    <row r="29" spans="1:16" ht="25.5">
      <c r="A29" s="129"/>
      <c r="B29" s="3" t="s">
        <v>11</v>
      </c>
      <c r="C29" s="4" t="s">
        <v>15</v>
      </c>
      <c r="E29" s="3">
        <v>0.5</v>
      </c>
      <c r="F29" s="3"/>
      <c r="G29" s="3">
        <v>0</v>
      </c>
      <c r="H29" s="3"/>
      <c r="I29" s="25">
        <v>0</v>
      </c>
      <c r="J29" s="26"/>
      <c r="K29" s="61">
        <v>0.5</v>
      </c>
      <c r="L29" s="61"/>
      <c r="M29" s="25">
        <v>0</v>
      </c>
      <c r="N29" s="26"/>
      <c r="O29" s="50">
        <v>0.5</v>
      </c>
      <c r="P29" s="51"/>
    </row>
    <row r="30" spans="1:16" ht="25.5" customHeight="1">
      <c r="A30" s="129"/>
      <c r="B30" s="129" t="s">
        <v>16</v>
      </c>
      <c r="C30" s="129"/>
      <c r="E30" s="30">
        <f>SUM(E19:E29)</f>
        <v>5</v>
      </c>
      <c r="F30" s="30"/>
      <c r="G30" s="30">
        <f>SUM(G19:G29)</f>
        <v>4.5</v>
      </c>
      <c r="H30" s="30"/>
      <c r="I30" s="44">
        <f>SUM(I19:I29)</f>
        <v>5.5</v>
      </c>
      <c r="J30" s="26"/>
      <c r="K30" s="63">
        <f>SUM(K19:K29)</f>
        <v>7</v>
      </c>
      <c r="L30" s="61"/>
      <c r="M30" s="44">
        <f>SUM(M19:M29)</f>
        <v>3.5</v>
      </c>
      <c r="N30" s="26"/>
      <c r="O30" s="71">
        <f>SUM(O19:O29)</f>
        <v>10</v>
      </c>
      <c r="P30" s="51"/>
    </row>
    <row r="31" spans="1:16" ht="38.25" customHeight="1">
      <c r="A31" s="129"/>
      <c r="B31" s="125" t="s">
        <v>17</v>
      </c>
      <c r="C31" s="125"/>
      <c r="E31" s="5">
        <f>E30*0.3</f>
        <v>1.5</v>
      </c>
      <c r="F31" s="3"/>
      <c r="G31" s="5">
        <f>G30*0.3</f>
        <v>1.3499999999999999</v>
      </c>
      <c r="H31" s="3"/>
      <c r="I31" s="36">
        <f>I30*0.3</f>
        <v>1.65</v>
      </c>
      <c r="J31" s="26"/>
      <c r="K31" s="67">
        <f>K30*0.3</f>
        <v>2.1</v>
      </c>
      <c r="L31" s="61"/>
      <c r="M31" s="36">
        <f>M30*0.3</f>
        <v>1.05</v>
      </c>
      <c r="N31" s="26"/>
      <c r="O31" s="54">
        <f>O30*0.3</f>
        <v>3</v>
      </c>
      <c r="P31" s="51"/>
    </row>
    <row r="32" spans="5:16" ht="12.75">
      <c r="E32" s="3"/>
      <c r="F32" s="3"/>
      <c r="G32" s="3"/>
      <c r="H32" s="3"/>
      <c r="I32" s="25"/>
      <c r="J32" s="26"/>
      <c r="K32" s="61"/>
      <c r="L32" s="61"/>
      <c r="M32" s="25"/>
      <c r="N32" s="26"/>
      <c r="O32" s="50"/>
      <c r="P32" s="51"/>
    </row>
    <row r="33" spans="1:16" ht="29.25" customHeight="1">
      <c r="A33" s="127" t="s">
        <v>41</v>
      </c>
      <c r="B33" s="128"/>
      <c r="C33" s="128"/>
      <c r="E33" s="20">
        <f>SUM(E31+E18+E13)</f>
        <v>4.657323688969258</v>
      </c>
      <c r="F33" s="3"/>
      <c r="G33" s="20">
        <f>SUM(G31+G18+G13)</f>
        <v>5.492857142857142</v>
      </c>
      <c r="H33" s="3"/>
      <c r="I33" s="31">
        <f>SUM(I31+I18+I13)</f>
        <v>3.9833333333333334</v>
      </c>
      <c r="J33" s="26"/>
      <c r="K33" s="66">
        <f>SUM(K31+K18+K13)</f>
        <v>10.405263157894737</v>
      </c>
      <c r="L33" s="61"/>
      <c r="M33" s="31">
        <f>SUM(M31+M18+M13)</f>
        <v>6.55</v>
      </c>
      <c r="N33" s="26"/>
      <c r="O33" s="53">
        <f>SUM(O31+O18+O13)</f>
        <v>7</v>
      </c>
      <c r="P33" s="51"/>
    </row>
    <row r="34" spans="1:16" s="18" customFormat="1" ht="12" customHeight="1">
      <c r="A34" s="16"/>
      <c r="B34" s="17"/>
      <c r="C34" s="17"/>
      <c r="E34" s="19"/>
      <c r="F34" s="19"/>
      <c r="G34" s="19"/>
      <c r="H34" s="19"/>
      <c r="I34" s="19"/>
      <c r="J34" s="19"/>
      <c r="K34" s="68"/>
      <c r="L34" s="68"/>
      <c r="M34" s="19"/>
      <c r="N34" s="19"/>
      <c r="O34" s="56"/>
      <c r="P34" s="56"/>
    </row>
    <row r="35" spans="1:16" ht="29.25" customHeight="1">
      <c r="A35" s="127" t="s">
        <v>42</v>
      </c>
      <c r="B35" s="128"/>
      <c r="C35" s="128"/>
      <c r="E35" s="20">
        <f>E31+E18+E14</f>
        <v>4.966768525592055</v>
      </c>
      <c r="F35" s="3"/>
      <c r="G35" s="20">
        <f>G31+G18+G14</f>
        <v>5.656122448979591</v>
      </c>
      <c r="H35" s="3"/>
      <c r="I35" s="31">
        <f>I31+I18+I14</f>
        <v>3.65</v>
      </c>
      <c r="J35" s="26"/>
      <c r="K35" s="69">
        <f>K31+K18+K14</f>
        <v>9.702739726027396</v>
      </c>
      <c r="L35" s="61"/>
      <c r="M35" s="31">
        <f>M31+M18+M14</f>
        <v>6.55</v>
      </c>
      <c r="N35" s="26"/>
      <c r="O35" s="53">
        <f>O31+O18+O14</f>
        <v>7.192546583850932</v>
      </c>
      <c r="P35" s="51"/>
    </row>
  </sheetData>
  <mergeCells count="52">
    <mergeCell ref="A33:C33"/>
    <mergeCell ref="A35:C35"/>
    <mergeCell ref="A19:A31"/>
    <mergeCell ref="B19:B21"/>
    <mergeCell ref="B22:B25"/>
    <mergeCell ref="B26:B27"/>
    <mergeCell ref="B30:C30"/>
    <mergeCell ref="B31:C31"/>
    <mergeCell ref="A8:A14"/>
    <mergeCell ref="B14:C14"/>
    <mergeCell ref="A17:A18"/>
    <mergeCell ref="B17:C17"/>
    <mergeCell ref="B18:C18"/>
    <mergeCell ref="B8:C8"/>
    <mergeCell ref="B9:C9"/>
    <mergeCell ref="B10:C10"/>
    <mergeCell ref="B11:C11"/>
    <mergeCell ref="B15:C15"/>
    <mergeCell ref="O5:P5"/>
    <mergeCell ref="G6:H6"/>
    <mergeCell ref="I6:J6"/>
    <mergeCell ref="K6:L6"/>
    <mergeCell ref="M6:N6"/>
    <mergeCell ref="O6:P6"/>
    <mergeCell ref="G5:H5"/>
    <mergeCell ref="I5:J5"/>
    <mergeCell ref="K5:L5"/>
    <mergeCell ref="M5:N5"/>
    <mergeCell ref="B12:C12"/>
    <mergeCell ref="B13:C13"/>
    <mergeCell ref="E5:F5"/>
    <mergeCell ref="E6:F6"/>
    <mergeCell ref="E12:F12"/>
    <mergeCell ref="E14:F14"/>
    <mergeCell ref="G14:H14"/>
    <mergeCell ref="I14:J14"/>
    <mergeCell ref="K14:L14"/>
    <mergeCell ref="M14:N14"/>
    <mergeCell ref="O14:P14"/>
    <mergeCell ref="I16:J16"/>
    <mergeCell ref="K16:L16"/>
    <mergeCell ref="M16:N16"/>
    <mergeCell ref="O16:P16"/>
    <mergeCell ref="A15:A16"/>
    <mergeCell ref="B16:C16"/>
    <mergeCell ref="E16:F16"/>
    <mergeCell ref="G16:H16"/>
    <mergeCell ref="O12:P12"/>
    <mergeCell ref="G12:H12"/>
    <mergeCell ref="I12:J12"/>
    <mergeCell ref="K12:L12"/>
    <mergeCell ref="M12:N12"/>
  </mergeCells>
  <printOptions/>
  <pageMargins left="0.3937007874015748" right="0.3937007874015748" top="0.7874015748031497" bottom="0.7874015748031497" header="0.5118110236220472" footer="0.5118110236220472"/>
  <pageSetup fitToWidth="0" fitToHeight="1" horizontalDpi="600" verticalDpi="600" orientation="landscape" paperSize="9" scale="60" r:id="rId1"/>
  <headerFooter alignWithMargins="0">
    <oddHeader>&amp;CClassement DPE Savoie
LOT N°3</oddHeader>
    <oddFooter>&amp;LLOT N°3&amp;Rpage &amp;P sur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85" zoomScaleNormal="50" zoomScaleSheetLayoutView="85" workbookViewId="0" topLeftCell="A22">
      <selection activeCell="B22" sqref="B22:B25"/>
    </sheetView>
  </sheetViews>
  <sheetFormatPr defaultColWidth="11.421875" defaultRowHeight="12.75"/>
  <cols>
    <col min="1" max="1" width="14.421875" style="1" customWidth="1"/>
    <col min="2" max="2" width="19.57421875" style="1" customWidth="1"/>
    <col min="3" max="3" width="22.57421875" style="1" customWidth="1"/>
    <col min="4" max="4" width="3.140625" style="1" customWidth="1"/>
    <col min="5" max="8" width="25.7109375" style="1" customWidth="1"/>
    <col min="9" max="16384" width="11.421875" style="1" customWidth="1"/>
  </cols>
  <sheetData>
    <row r="1" spans="1:7" ht="13.5" thickBot="1">
      <c r="A1" s="6" t="s">
        <v>33</v>
      </c>
      <c r="B1" s="7"/>
      <c r="C1" s="7"/>
      <c r="D1" s="8"/>
      <c r="E1" s="8"/>
      <c r="F1" s="59">
        <v>10405.2</v>
      </c>
      <c r="G1" s="9" t="s">
        <v>26</v>
      </c>
    </row>
    <row r="2" ht="13.5" thickBot="1">
      <c r="F2" s="60"/>
    </row>
    <row r="3" spans="1:7" ht="13.5" thickBot="1">
      <c r="A3" s="6" t="s">
        <v>34</v>
      </c>
      <c r="B3" s="7"/>
      <c r="C3" s="7"/>
      <c r="D3" s="8"/>
      <c r="E3" s="8"/>
      <c r="F3" s="59">
        <v>15607.8</v>
      </c>
      <c r="G3" s="9" t="s">
        <v>26</v>
      </c>
    </row>
    <row r="4" spans="1:7" ht="12.75">
      <c r="A4" s="10"/>
      <c r="B4" s="11"/>
      <c r="C4" s="11"/>
      <c r="D4" s="12"/>
      <c r="E4" s="12"/>
      <c r="F4" s="13"/>
      <c r="G4" s="14"/>
    </row>
    <row r="5" spans="2:8" ht="19.5" customHeight="1">
      <c r="B5" s="2"/>
      <c r="E5" s="111" t="s">
        <v>99</v>
      </c>
      <c r="F5" s="112"/>
      <c r="G5" s="111" t="s">
        <v>48</v>
      </c>
      <c r="H5" s="112"/>
    </row>
    <row r="6" spans="5:8" ht="19.5" customHeight="1">
      <c r="E6" s="115" t="s">
        <v>18</v>
      </c>
      <c r="F6" s="116"/>
      <c r="G6" s="115" t="s">
        <v>23</v>
      </c>
      <c r="H6" s="116"/>
    </row>
    <row r="7" spans="5:8" ht="19.5" customHeight="1">
      <c r="E7" s="3" t="s">
        <v>35</v>
      </c>
      <c r="F7" s="15" t="s">
        <v>36</v>
      </c>
      <c r="G7" s="3" t="s">
        <v>35</v>
      </c>
      <c r="H7" s="15" t="s">
        <v>36</v>
      </c>
    </row>
    <row r="8" spans="1:8" ht="15" customHeight="1">
      <c r="A8" s="119" t="s">
        <v>6</v>
      </c>
      <c r="B8" s="120" t="s">
        <v>3</v>
      </c>
      <c r="C8" s="120"/>
      <c r="E8" s="72">
        <v>4800</v>
      </c>
      <c r="F8" s="73">
        <v>14440</v>
      </c>
      <c r="G8" s="72">
        <v>7176</v>
      </c>
      <c r="H8" s="73">
        <v>8000</v>
      </c>
    </row>
    <row r="9" spans="1:8" ht="15" customHeight="1">
      <c r="A9" s="119"/>
      <c r="B9" s="120" t="s">
        <v>4</v>
      </c>
      <c r="C9" s="120"/>
      <c r="E9" s="74">
        <f>E8*19.6%</f>
        <v>940.8000000000001</v>
      </c>
      <c r="F9" s="72">
        <f>F8*19.6%</f>
        <v>2830.2400000000002</v>
      </c>
      <c r="G9" s="72">
        <f>G8*19.6%</f>
        <v>1406.496</v>
      </c>
      <c r="H9" s="72">
        <f>H8*19.6%</f>
        <v>1568</v>
      </c>
    </row>
    <row r="10" spans="1:8" ht="15" customHeight="1">
      <c r="A10" s="119"/>
      <c r="B10" s="120" t="s">
        <v>5</v>
      </c>
      <c r="C10" s="120"/>
      <c r="E10" s="75">
        <f>E9+E8</f>
        <v>5740.8</v>
      </c>
      <c r="F10" s="75">
        <f>F9+F8</f>
        <v>17270.24</v>
      </c>
      <c r="G10" s="75">
        <f>G9+G8</f>
        <v>8582.496</v>
      </c>
      <c r="H10" s="75">
        <f>H9+H8</f>
        <v>9568</v>
      </c>
    </row>
    <row r="11" spans="1:8" ht="15" customHeight="1">
      <c r="A11" s="119"/>
      <c r="B11" s="120" t="s">
        <v>38</v>
      </c>
      <c r="C11" s="120"/>
      <c r="E11" s="3">
        <v>1</v>
      </c>
      <c r="F11" s="3">
        <v>2</v>
      </c>
      <c r="G11" s="3">
        <v>2</v>
      </c>
      <c r="H11" s="3">
        <v>1</v>
      </c>
    </row>
    <row r="12" spans="1:8" ht="15" customHeight="1">
      <c r="A12" s="119"/>
      <c r="B12" s="120" t="s">
        <v>37</v>
      </c>
      <c r="C12" s="120"/>
      <c r="E12" s="105">
        <v>2</v>
      </c>
      <c r="F12" s="106"/>
      <c r="G12" s="105">
        <v>1</v>
      </c>
      <c r="H12" s="106"/>
    </row>
    <row r="13" spans="1:8" ht="27" customHeight="1">
      <c r="A13" s="119"/>
      <c r="B13" s="109" t="s">
        <v>40</v>
      </c>
      <c r="C13" s="110"/>
      <c r="E13" s="3">
        <f>$E$8/E8*4</f>
        <v>4</v>
      </c>
      <c r="F13" s="20">
        <f>$H$8/F8*4</f>
        <v>2.21606648199446</v>
      </c>
      <c r="G13" s="20">
        <f>$E$8/G8*4</f>
        <v>2.6755852842809364</v>
      </c>
      <c r="H13" s="3">
        <f>$H$8/H8*4</f>
        <v>4</v>
      </c>
    </row>
    <row r="14" spans="1:8" ht="24" customHeight="1">
      <c r="A14" s="119"/>
      <c r="B14" s="109" t="s">
        <v>39</v>
      </c>
      <c r="C14" s="110"/>
      <c r="E14" s="158">
        <f>($E$8+$H$8)/(E8+F8)*4</f>
        <v>2.6611226611226613</v>
      </c>
      <c r="F14" s="159"/>
      <c r="G14" s="158">
        <f>($E$8+$H$8)/(G8+H8)*4</f>
        <v>3.373748023194518</v>
      </c>
      <c r="H14" s="159"/>
    </row>
    <row r="15" spans="1:8" ht="24" customHeight="1">
      <c r="A15" s="130" t="s">
        <v>52</v>
      </c>
      <c r="B15" s="108" t="s">
        <v>95</v>
      </c>
      <c r="C15" s="100"/>
      <c r="E15" s="3">
        <v>16</v>
      </c>
      <c r="F15" s="3">
        <v>88</v>
      </c>
      <c r="G15" s="3">
        <v>20</v>
      </c>
      <c r="H15" s="3">
        <v>32</v>
      </c>
    </row>
    <row r="16" spans="1:8" ht="18.75" customHeight="1">
      <c r="A16" s="132"/>
      <c r="B16" s="108" t="s">
        <v>96</v>
      </c>
      <c r="C16" s="100"/>
      <c r="E16" s="105">
        <f>E15+F15</f>
        <v>104</v>
      </c>
      <c r="F16" s="106"/>
      <c r="G16" s="105">
        <f>G15+H15</f>
        <v>52</v>
      </c>
      <c r="H16" s="106"/>
    </row>
    <row r="17" spans="1:8" ht="38.25" customHeight="1">
      <c r="A17" s="129" t="s">
        <v>61</v>
      </c>
      <c r="B17" s="129" t="s">
        <v>7</v>
      </c>
      <c r="C17" s="129"/>
      <c r="E17" s="105">
        <v>1</v>
      </c>
      <c r="F17" s="106"/>
      <c r="G17" s="105">
        <v>1.5</v>
      </c>
      <c r="H17" s="106"/>
    </row>
    <row r="18" spans="1:8" ht="25.5" customHeight="1">
      <c r="A18" s="129"/>
      <c r="B18" s="125" t="s">
        <v>8</v>
      </c>
      <c r="C18" s="125"/>
      <c r="E18" s="139">
        <f>E17</f>
        <v>1</v>
      </c>
      <c r="F18" s="140"/>
      <c r="G18" s="139">
        <f>G17</f>
        <v>1.5</v>
      </c>
      <c r="H18" s="140"/>
    </row>
    <row r="19" spans="1:8" ht="51">
      <c r="A19" s="129" t="s">
        <v>9</v>
      </c>
      <c r="B19" s="119" t="s">
        <v>0</v>
      </c>
      <c r="C19" s="43" t="s">
        <v>90</v>
      </c>
      <c r="E19" s="25">
        <v>1</v>
      </c>
      <c r="F19" s="26"/>
      <c r="G19" s="25">
        <v>2</v>
      </c>
      <c r="H19" s="26"/>
    </row>
    <row r="20" spans="1:8" ht="25.5">
      <c r="A20" s="129"/>
      <c r="B20" s="119"/>
      <c r="C20" s="4" t="s">
        <v>67</v>
      </c>
      <c r="E20" s="25">
        <v>0.5</v>
      </c>
      <c r="F20" s="26"/>
      <c r="G20" s="25">
        <v>0.5</v>
      </c>
      <c r="H20" s="26"/>
    </row>
    <row r="21" spans="1:8" ht="25.5">
      <c r="A21" s="129"/>
      <c r="B21" s="119"/>
      <c r="C21" s="4" t="s">
        <v>12</v>
      </c>
      <c r="E21" s="25">
        <v>0</v>
      </c>
      <c r="F21" s="26"/>
      <c r="G21" s="25">
        <v>1</v>
      </c>
      <c r="H21" s="26"/>
    </row>
    <row r="22" spans="1:8" ht="25.5">
      <c r="A22" s="129"/>
      <c r="B22" s="119" t="s">
        <v>1</v>
      </c>
      <c r="C22" s="4" t="s">
        <v>13</v>
      </c>
      <c r="E22" s="25">
        <v>0.5</v>
      </c>
      <c r="F22" s="26"/>
      <c r="G22" s="25">
        <v>1</v>
      </c>
      <c r="H22" s="26"/>
    </row>
    <row r="23" spans="1:8" ht="25.5">
      <c r="A23" s="129"/>
      <c r="B23" s="119"/>
      <c r="C23" s="4" t="s">
        <v>82</v>
      </c>
      <c r="E23" s="25">
        <v>0</v>
      </c>
      <c r="F23" s="26"/>
      <c r="G23" s="25">
        <v>0.5</v>
      </c>
      <c r="H23" s="26"/>
    </row>
    <row r="24" spans="1:8" ht="25.5">
      <c r="A24" s="129"/>
      <c r="B24" s="119"/>
      <c r="C24" s="4" t="s">
        <v>69</v>
      </c>
      <c r="E24" s="25">
        <v>0</v>
      </c>
      <c r="F24" s="26"/>
      <c r="G24" s="25">
        <v>0</v>
      </c>
      <c r="H24" s="26"/>
    </row>
    <row r="25" spans="1:8" ht="25.5">
      <c r="A25" s="129"/>
      <c r="B25" s="119"/>
      <c r="C25" s="4" t="s">
        <v>14</v>
      </c>
      <c r="E25" s="25">
        <v>0.5</v>
      </c>
      <c r="F25" s="26"/>
      <c r="G25" s="25">
        <v>1</v>
      </c>
      <c r="H25" s="26"/>
    </row>
    <row r="26" spans="1:8" ht="25.5">
      <c r="A26" s="129"/>
      <c r="B26" s="119" t="s">
        <v>2</v>
      </c>
      <c r="C26" s="4" t="s">
        <v>71</v>
      </c>
      <c r="E26" s="25">
        <v>0.5</v>
      </c>
      <c r="F26" s="26"/>
      <c r="G26" s="25">
        <v>0</v>
      </c>
      <c r="H26" s="26"/>
    </row>
    <row r="27" spans="1:8" ht="25.5">
      <c r="A27" s="129"/>
      <c r="B27" s="119"/>
      <c r="C27" s="4" t="s">
        <v>72</v>
      </c>
      <c r="E27" s="25">
        <v>0.5</v>
      </c>
      <c r="F27" s="26"/>
      <c r="G27" s="25">
        <v>0.5</v>
      </c>
      <c r="H27" s="26"/>
    </row>
    <row r="28" spans="1:8" ht="25.5">
      <c r="A28" s="129"/>
      <c r="B28" s="4" t="s">
        <v>10</v>
      </c>
      <c r="C28" s="4" t="s">
        <v>83</v>
      </c>
      <c r="E28" s="25">
        <v>0</v>
      </c>
      <c r="F28" s="26"/>
      <c r="G28" s="25">
        <v>0</v>
      </c>
      <c r="H28" s="26"/>
    </row>
    <row r="29" spans="1:8" ht="25.5">
      <c r="A29" s="129"/>
      <c r="B29" s="3" t="s">
        <v>11</v>
      </c>
      <c r="C29" s="4" t="s">
        <v>15</v>
      </c>
      <c r="E29" s="25">
        <v>0</v>
      </c>
      <c r="F29" s="26"/>
      <c r="G29" s="25">
        <v>0.5</v>
      </c>
      <c r="H29" s="26"/>
    </row>
    <row r="30" spans="1:8" ht="25.5" customHeight="1">
      <c r="A30" s="129"/>
      <c r="B30" s="129" t="s">
        <v>16</v>
      </c>
      <c r="C30" s="129"/>
      <c r="E30" s="44">
        <f>SUM(E19:E29)</f>
        <v>3.5</v>
      </c>
      <c r="F30" s="32"/>
      <c r="G30" s="44">
        <f>SUM(G19:G29)</f>
        <v>7</v>
      </c>
      <c r="H30" s="32"/>
    </row>
    <row r="31" spans="1:8" ht="38.25" customHeight="1">
      <c r="A31" s="129"/>
      <c r="B31" s="125" t="s">
        <v>17</v>
      </c>
      <c r="C31" s="125"/>
      <c r="E31" s="36">
        <f>E30*30%</f>
        <v>1.05</v>
      </c>
      <c r="F31" s="26"/>
      <c r="G31" s="36">
        <f>G30*30%</f>
        <v>2.1</v>
      </c>
      <c r="H31" s="26"/>
    </row>
    <row r="32" spans="5:8" ht="12.75">
      <c r="E32" s="25"/>
      <c r="F32" s="26"/>
      <c r="G32" s="25"/>
      <c r="H32" s="26"/>
    </row>
    <row r="33" spans="1:8" ht="29.25" customHeight="1">
      <c r="A33" s="127" t="s">
        <v>41</v>
      </c>
      <c r="B33" s="128"/>
      <c r="C33" s="128"/>
      <c r="E33" s="31">
        <f>E31+E18+E13</f>
        <v>6.05</v>
      </c>
      <c r="F33" s="26"/>
      <c r="G33" s="31">
        <f>G31+G18+G13</f>
        <v>6.275585284280936</v>
      </c>
      <c r="H33" s="26"/>
    </row>
    <row r="34" spans="1:8" s="18" customFormat="1" ht="12" customHeight="1">
      <c r="A34" s="16"/>
      <c r="B34" s="17"/>
      <c r="C34" s="17"/>
      <c r="E34" s="19"/>
      <c r="F34" s="19"/>
      <c r="G34" s="19"/>
      <c r="H34" s="19"/>
    </row>
    <row r="35" spans="1:8" ht="29.25" customHeight="1">
      <c r="A35" s="127" t="s">
        <v>42</v>
      </c>
      <c r="B35" s="128"/>
      <c r="C35" s="128"/>
      <c r="E35" s="76">
        <f>E31+E18+E14</f>
        <v>4.711122661122661</v>
      </c>
      <c r="F35" s="26"/>
      <c r="G35" s="76">
        <f>G31+G18+G14</f>
        <v>6.973748023194518</v>
      </c>
      <c r="H35" s="26"/>
    </row>
  </sheetData>
  <mergeCells count="36">
    <mergeCell ref="A33:C33"/>
    <mergeCell ref="A8:A14"/>
    <mergeCell ref="A15:A16"/>
    <mergeCell ref="B13:C13"/>
    <mergeCell ref="B15:C15"/>
    <mergeCell ref="B16:C16"/>
    <mergeCell ref="B8:C8"/>
    <mergeCell ref="B9:C9"/>
    <mergeCell ref="B10:C10"/>
    <mergeCell ref="B11:C11"/>
    <mergeCell ref="E5:F5"/>
    <mergeCell ref="G5:H5"/>
    <mergeCell ref="E6:F6"/>
    <mergeCell ref="G6:H6"/>
    <mergeCell ref="E16:F16"/>
    <mergeCell ref="G16:H16"/>
    <mergeCell ref="B12:C12"/>
    <mergeCell ref="E12:F12"/>
    <mergeCell ref="G12:H12"/>
    <mergeCell ref="B14:C14"/>
    <mergeCell ref="E14:F14"/>
    <mergeCell ref="G14:H14"/>
    <mergeCell ref="B22:B25"/>
    <mergeCell ref="B26:B27"/>
    <mergeCell ref="B30:C30"/>
    <mergeCell ref="B31:C31"/>
    <mergeCell ref="A35:C35"/>
    <mergeCell ref="E17:F17"/>
    <mergeCell ref="G17:H17"/>
    <mergeCell ref="E18:F18"/>
    <mergeCell ref="G18:H18"/>
    <mergeCell ref="A17:A18"/>
    <mergeCell ref="B17:C17"/>
    <mergeCell ref="B18:C18"/>
    <mergeCell ref="A19:A31"/>
    <mergeCell ref="B19:B21"/>
  </mergeCells>
  <printOptions/>
  <pageMargins left="0.3937007874015748" right="0.3937007874015748" top="0.7874015748031497" bottom="0.7874015748031497" header="0.5118110236220472" footer="0.5118110236220472"/>
  <pageSetup fitToWidth="0" fitToHeight="1" horizontalDpi="600" verticalDpi="600" orientation="landscape" paperSize="9" scale="62" r:id="rId1"/>
  <headerFooter alignWithMargins="0">
    <oddHeader>&amp;CClassement DPE Savoie
LOT N°4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85" zoomScaleNormal="50" zoomScaleSheetLayoutView="85" workbookViewId="0" topLeftCell="A1">
      <pane xSplit="5565" topLeftCell="A1" activePane="topRight" state="split"/>
      <selection pane="topLeft" activeCell="B16" sqref="B16:C16"/>
      <selection pane="topRight" activeCell="E39" sqref="E39"/>
    </sheetView>
  </sheetViews>
  <sheetFormatPr defaultColWidth="11.421875" defaultRowHeight="12.75"/>
  <cols>
    <col min="1" max="1" width="16.421875" style="1" customWidth="1"/>
    <col min="2" max="2" width="19.57421875" style="1" customWidth="1"/>
    <col min="3" max="3" width="22.57421875" style="1" customWidth="1"/>
    <col min="4" max="4" width="3.140625" style="1" customWidth="1"/>
    <col min="5" max="12" width="25.7109375" style="1" customWidth="1"/>
    <col min="13" max="16384" width="11.421875" style="1" customWidth="1"/>
  </cols>
  <sheetData>
    <row r="1" spans="1:7" ht="13.5" thickBot="1">
      <c r="A1" s="6" t="s">
        <v>133</v>
      </c>
      <c r="B1" s="7"/>
      <c r="C1" s="7"/>
      <c r="D1" s="8"/>
      <c r="E1" s="8"/>
      <c r="F1" s="59">
        <v>10405.2</v>
      </c>
      <c r="G1" s="9" t="s">
        <v>26</v>
      </c>
    </row>
    <row r="2" ht="13.5" thickBot="1">
      <c r="F2" s="92"/>
    </row>
    <row r="3" spans="1:7" ht="13.5" thickBot="1">
      <c r="A3" s="6" t="s">
        <v>134</v>
      </c>
      <c r="B3" s="7"/>
      <c r="C3" s="7"/>
      <c r="D3" s="8"/>
      <c r="E3" s="8"/>
      <c r="F3" s="59">
        <v>15607.8</v>
      </c>
      <c r="G3" s="9" t="s">
        <v>26</v>
      </c>
    </row>
    <row r="4" spans="1:7" ht="12.75">
      <c r="A4" s="10"/>
      <c r="B4" s="11"/>
      <c r="C4" s="11"/>
      <c r="D4" s="12"/>
      <c r="E4" s="12"/>
      <c r="F4" s="13"/>
      <c r="G4" s="14"/>
    </row>
    <row r="5" spans="2:12" ht="19.5" customHeight="1">
      <c r="B5" s="2"/>
      <c r="E5" s="111" t="s">
        <v>118</v>
      </c>
      <c r="F5" s="112"/>
      <c r="G5" s="111" t="s">
        <v>120</v>
      </c>
      <c r="H5" s="112"/>
      <c r="I5" s="111" t="s">
        <v>43</v>
      </c>
      <c r="J5" s="112"/>
      <c r="K5" s="111" t="s">
        <v>122</v>
      </c>
      <c r="L5" s="112"/>
    </row>
    <row r="6" spans="5:12" ht="19.5" customHeight="1">
      <c r="E6" s="115" t="s">
        <v>119</v>
      </c>
      <c r="F6" s="116"/>
      <c r="G6" s="115" t="s">
        <v>121</v>
      </c>
      <c r="H6" s="116"/>
      <c r="I6" s="115" t="s">
        <v>18</v>
      </c>
      <c r="J6" s="116"/>
      <c r="K6" s="115" t="s">
        <v>19</v>
      </c>
      <c r="L6" s="116"/>
    </row>
    <row r="7" spans="5:12" ht="19.5" customHeight="1">
      <c r="E7" s="3" t="s">
        <v>135</v>
      </c>
      <c r="F7" s="15" t="s">
        <v>36</v>
      </c>
      <c r="G7" s="3" t="s">
        <v>35</v>
      </c>
      <c r="H7" s="15" t="s">
        <v>36</v>
      </c>
      <c r="I7" s="3" t="s">
        <v>35</v>
      </c>
      <c r="J7" s="15" t="s">
        <v>36</v>
      </c>
      <c r="K7" s="3" t="s">
        <v>35</v>
      </c>
      <c r="L7" s="15" t="s">
        <v>36</v>
      </c>
    </row>
    <row r="8" spans="1:12" ht="15" customHeight="1">
      <c r="A8" s="119" t="s">
        <v>6</v>
      </c>
      <c r="B8" s="120" t="s">
        <v>3</v>
      </c>
      <c r="C8" s="120"/>
      <c r="E8" s="93">
        <v>8285</v>
      </c>
      <c r="F8" s="73">
        <v>17438</v>
      </c>
      <c r="G8" s="93">
        <v>7900</v>
      </c>
      <c r="H8" s="73">
        <v>10000</v>
      </c>
      <c r="I8" s="93">
        <v>4800</v>
      </c>
      <c r="J8" s="73">
        <v>15600</v>
      </c>
      <c r="K8" s="93">
        <v>5290</v>
      </c>
      <c r="L8" s="73">
        <v>13200</v>
      </c>
    </row>
    <row r="9" spans="1:12" ht="15" customHeight="1">
      <c r="A9" s="119"/>
      <c r="B9" s="120" t="s">
        <v>4</v>
      </c>
      <c r="C9" s="120"/>
      <c r="E9" s="74">
        <f aca="true" t="shared" si="0" ref="E9:L9">E8*19.6%</f>
        <v>1623.8600000000001</v>
      </c>
      <c r="F9" s="93">
        <f t="shared" si="0"/>
        <v>3417.848</v>
      </c>
      <c r="G9" s="93">
        <f t="shared" si="0"/>
        <v>1548.4</v>
      </c>
      <c r="H9" s="93">
        <f t="shared" si="0"/>
        <v>1960</v>
      </c>
      <c r="I9" s="93">
        <f t="shared" si="0"/>
        <v>940.8000000000001</v>
      </c>
      <c r="J9" s="93">
        <f t="shared" si="0"/>
        <v>3057.6</v>
      </c>
      <c r="K9" s="93">
        <f t="shared" si="0"/>
        <v>1036.8400000000001</v>
      </c>
      <c r="L9" s="93">
        <f t="shared" si="0"/>
        <v>2587.2000000000003</v>
      </c>
    </row>
    <row r="10" spans="1:12" ht="15" customHeight="1">
      <c r="A10" s="119"/>
      <c r="B10" s="120" t="s">
        <v>5</v>
      </c>
      <c r="C10" s="120"/>
      <c r="E10" s="94">
        <f aca="true" t="shared" si="1" ref="E10:L10">E9+E8</f>
        <v>9908.86</v>
      </c>
      <c r="F10" s="94">
        <f t="shared" si="1"/>
        <v>20855.847999999998</v>
      </c>
      <c r="G10" s="94">
        <f t="shared" si="1"/>
        <v>9448.4</v>
      </c>
      <c r="H10" s="94">
        <f t="shared" si="1"/>
        <v>11960</v>
      </c>
      <c r="I10" s="94">
        <f t="shared" si="1"/>
        <v>5740.8</v>
      </c>
      <c r="J10" s="94">
        <f t="shared" si="1"/>
        <v>18657.6</v>
      </c>
      <c r="K10" s="94">
        <f t="shared" si="1"/>
        <v>6326.84</v>
      </c>
      <c r="L10" s="94">
        <f t="shared" si="1"/>
        <v>15787.2</v>
      </c>
    </row>
    <row r="11" spans="1:12" ht="15" customHeight="1">
      <c r="A11" s="119"/>
      <c r="B11" s="120" t="s">
        <v>139</v>
      </c>
      <c r="C11" s="120"/>
      <c r="E11" s="174">
        <f>E8+F8</f>
        <v>25723</v>
      </c>
      <c r="F11" s="106"/>
      <c r="G11" s="174">
        <f>G8+H8</f>
        <v>17900</v>
      </c>
      <c r="H11" s="106"/>
      <c r="I11" s="174">
        <f>I8+J8</f>
        <v>20400</v>
      </c>
      <c r="J11" s="106"/>
      <c r="K11" s="174">
        <f>K8+L8</f>
        <v>18490</v>
      </c>
      <c r="L11" s="106"/>
    </row>
    <row r="12" spans="1:12" ht="15" customHeight="1">
      <c r="A12" s="119"/>
      <c r="B12" s="120" t="s">
        <v>138</v>
      </c>
      <c r="C12" s="120"/>
      <c r="E12" s="174">
        <f>E10+F10</f>
        <v>30764.708</v>
      </c>
      <c r="F12" s="106"/>
      <c r="G12" s="174">
        <f>G10+H10</f>
        <v>21408.4</v>
      </c>
      <c r="H12" s="106"/>
      <c r="I12" s="174">
        <f>I10+J10</f>
        <v>24398.399999999998</v>
      </c>
      <c r="J12" s="106"/>
      <c r="K12" s="174">
        <f>K10+L10</f>
        <v>22114.04</v>
      </c>
      <c r="L12" s="106"/>
    </row>
    <row r="13" spans="1:12" ht="15" customHeight="1">
      <c r="A13" s="119"/>
      <c r="B13" s="120" t="s">
        <v>136</v>
      </c>
      <c r="C13" s="120"/>
      <c r="E13" s="3">
        <v>4</v>
      </c>
      <c r="F13" s="3">
        <v>4</v>
      </c>
      <c r="G13" s="3">
        <v>3</v>
      </c>
      <c r="H13" s="3">
        <v>1</v>
      </c>
      <c r="I13" s="3">
        <v>1</v>
      </c>
      <c r="J13" s="3">
        <v>3</v>
      </c>
      <c r="K13" s="3">
        <v>2</v>
      </c>
      <c r="L13" s="3">
        <v>2</v>
      </c>
    </row>
    <row r="14" spans="1:12" ht="15" customHeight="1">
      <c r="A14" s="119"/>
      <c r="B14" s="120" t="s">
        <v>137</v>
      </c>
      <c r="C14" s="120"/>
      <c r="E14" s="105">
        <v>4</v>
      </c>
      <c r="F14" s="106"/>
      <c r="G14" s="105">
        <v>1</v>
      </c>
      <c r="H14" s="106"/>
      <c r="I14" s="105">
        <v>3</v>
      </c>
      <c r="J14" s="106"/>
      <c r="K14" s="105">
        <v>2</v>
      </c>
      <c r="L14" s="106"/>
    </row>
    <row r="15" spans="1:12" ht="27" customHeight="1">
      <c r="A15" s="119"/>
      <c r="B15" s="168" t="s">
        <v>140</v>
      </c>
      <c r="C15" s="140"/>
      <c r="E15" s="20">
        <f>$I$8/E8*35</f>
        <v>20.27761013880507</v>
      </c>
      <c r="F15" s="20">
        <f>$H$8/F8*35</f>
        <v>20.0711090721413</v>
      </c>
      <c r="G15" s="20">
        <f>$I$8/G8*35</f>
        <v>21.265822784810126</v>
      </c>
      <c r="H15" s="20">
        <f>$H$8/H8*35</f>
        <v>35</v>
      </c>
      <c r="I15" s="20">
        <f>$I$8/I8*35</f>
        <v>35</v>
      </c>
      <c r="J15" s="20">
        <f>$H$8/J8*35</f>
        <v>22.435897435897438</v>
      </c>
      <c r="K15" s="20">
        <f>$I$8/K8*35</f>
        <v>31.75803402646503</v>
      </c>
      <c r="L15" s="20">
        <f>$H$8/L8*35</f>
        <v>26.515151515151516</v>
      </c>
    </row>
    <row r="16" spans="1:12" ht="24" customHeight="1">
      <c r="A16" s="119"/>
      <c r="B16" s="168" t="s">
        <v>141</v>
      </c>
      <c r="C16" s="140"/>
      <c r="E16" s="169">
        <f>($G12)/(E12)*35</f>
        <v>24.355635034793767</v>
      </c>
      <c r="F16" s="170"/>
      <c r="G16" s="169">
        <f>($G12)/(G12)*35</f>
        <v>35</v>
      </c>
      <c r="H16" s="170"/>
      <c r="I16" s="169">
        <f>($G12)/(I12)*35</f>
        <v>30.710784313725494</v>
      </c>
      <c r="J16" s="170"/>
      <c r="K16" s="169">
        <f>($G12)/(K12)*35</f>
        <v>33.88318009734992</v>
      </c>
      <c r="L16" s="170"/>
    </row>
    <row r="17" spans="1:12" ht="24" customHeight="1">
      <c r="A17" s="121" t="s">
        <v>132</v>
      </c>
      <c r="B17" s="108" t="s">
        <v>95</v>
      </c>
      <c r="C17" s="100"/>
      <c r="E17" s="3">
        <v>26</v>
      </c>
      <c r="F17" s="3">
        <v>59</v>
      </c>
      <c r="G17" s="3">
        <v>80</v>
      </c>
      <c r="H17" s="3">
        <v>100</v>
      </c>
      <c r="I17" s="3">
        <v>96</v>
      </c>
      <c r="J17" s="3">
        <v>192</v>
      </c>
      <c r="K17" s="3">
        <v>54</v>
      </c>
      <c r="L17" s="3">
        <v>123</v>
      </c>
    </row>
    <row r="18" spans="1:12" ht="18.75" customHeight="1">
      <c r="A18" s="175"/>
      <c r="B18" s="108" t="s">
        <v>96</v>
      </c>
      <c r="C18" s="100"/>
      <c r="E18" s="105">
        <f>E17+F17</f>
        <v>85</v>
      </c>
      <c r="F18" s="106"/>
      <c r="G18" s="105">
        <f>G17+H17</f>
        <v>180</v>
      </c>
      <c r="H18" s="106"/>
      <c r="I18" s="105">
        <f>I17+J17</f>
        <v>288</v>
      </c>
      <c r="J18" s="106"/>
      <c r="K18" s="105">
        <f>K17+L17</f>
        <v>177</v>
      </c>
      <c r="L18" s="106"/>
    </row>
    <row r="19" spans="1:12" ht="18.75" customHeight="1">
      <c r="A19" s="175"/>
      <c r="B19" s="105" t="s">
        <v>123</v>
      </c>
      <c r="C19" s="106"/>
      <c r="E19" s="105">
        <v>5</v>
      </c>
      <c r="F19" s="106"/>
      <c r="G19" s="105">
        <v>5</v>
      </c>
      <c r="H19" s="106"/>
      <c r="I19" s="105">
        <v>5</v>
      </c>
      <c r="J19" s="106"/>
      <c r="K19" s="105">
        <v>5</v>
      </c>
      <c r="L19" s="106"/>
    </row>
    <row r="20" spans="1:12" ht="27" customHeight="1">
      <c r="A20" s="175"/>
      <c r="B20" s="129" t="s">
        <v>130</v>
      </c>
      <c r="C20" s="129"/>
      <c r="E20" s="105">
        <v>2.5</v>
      </c>
      <c r="F20" s="106"/>
      <c r="G20" s="105">
        <v>5</v>
      </c>
      <c r="H20" s="106"/>
      <c r="I20" s="105">
        <v>5</v>
      </c>
      <c r="J20" s="106"/>
      <c r="K20" s="105">
        <v>5</v>
      </c>
      <c r="L20" s="106"/>
    </row>
    <row r="21" spans="1:12" ht="24" customHeight="1">
      <c r="A21" s="175"/>
      <c r="B21" s="129" t="s">
        <v>131</v>
      </c>
      <c r="C21" s="129"/>
      <c r="E21" s="105">
        <v>5</v>
      </c>
      <c r="F21" s="106"/>
      <c r="G21" s="105">
        <v>5</v>
      </c>
      <c r="H21" s="106"/>
      <c r="I21" s="105">
        <v>5</v>
      </c>
      <c r="J21" s="106"/>
      <c r="K21" s="105">
        <v>5</v>
      </c>
      <c r="L21" s="106"/>
    </row>
    <row r="22" spans="1:12" ht="26.25" customHeight="1">
      <c r="A22" s="122"/>
      <c r="B22" s="125" t="s">
        <v>124</v>
      </c>
      <c r="C22" s="125"/>
      <c r="E22" s="139">
        <v>7.5</v>
      </c>
      <c r="F22" s="140"/>
      <c r="G22" s="139">
        <v>10</v>
      </c>
      <c r="H22" s="140"/>
      <c r="I22" s="139">
        <v>10</v>
      </c>
      <c r="J22" s="140"/>
      <c r="K22" s="139">
        <v>10</v>
      </c>
      <c r="L22" s="140"/>
    </row>
    <row r="23" spans="1:12" ht="26.25" customHeight="1">
      <c r="A23" s="121" t="s">
        <v>0</v>
      </c>
      <c r="B23" s="129" t="s">
        <v>125</v>
      </c>
      <c r="C23" s="129"/>
      <c r="E23" s="105">
        <v>2.5</v>
      </c>
      <c r="F23" s="106"/>
      <c r="G23" s="105">
        <v>1.5</v>
      </c>
      <c r="H23" s="106"/>
      <c r="I23" s="105">
        <v>2.5</v>
      </c>
      <c r="J23" s="106"/>
      <c r="K23" s="105">
        <v>2.5</v>
      </c>
      <c r="L23" s="106"/>
    </row>
    <row r="24" spans="1:12" ht="26.25" customHeight="1">
      <c r="A24" s="122"/>
      <c r="B24" s="125" t="s">
        <v>126</v>
      </c>
      <c r="C24" s="125"/>
      <c r="E24" s="139">
        <f>E23*10</f>
        <v>25</v>
      </c>
      <c r="F24" s="140"/>
      <c r="G24" s="139">
        <f>G23*10</f>
        <v>15</v>
      </c>
      <c r="H24" s="140"/>
      <c r="I24" s="139">
        <v>25</v>
      </c>
      <c r="J24" s="140"/>
      <c r="K24" s="139">
        <v>25</v>
      </c>
      <c r="L24" s="140"/>
    </row>
    <row r="25" spans="1:12" ht="38.25" customHeight="1">
      <c r="A25" s="121" t="s">
        <v>61</v>
      </c>
      <c r="B25" s="123" t="s">
        <v>67</v>
      </c>
      <c r="C25" s="124"/>
      <c r="E25" s="105">
        <v>0.5</v>
      </c>
      <c r="F25" s="106"/>
      <c r="G25" s="105">
        <v>0.4</v>
      </c>
      <c r="H25" s="106"/>
      <c r="I25" s="105">
        <v>0.4</v>
      </c>
      <c r="J25" s="106"/>
      <c r="K25" s="105">
        <v>0.5</v>
      </c>
      <c r="L25" s="106"/>
    </row>
    <row r="26" spans="1:12" ht="25.5" customHeight="1">
      <c r="A26" s="175"/>
      <c r="B26" s="123" t="s">
        <v>128</v>
      </c>
      <c r="C26" s="124"/>
      <c r="E26" s="171">
        <v>1.5</v>
      </c>
      <c r="F26" s="172"/>
      <c r="G26" s="171">
        <v>0</v>
      </c>
      <c r="H26" s="172"/>
      <c r="I26" s="171">
        <v>0.5</v>
      </c>
      <c r="J26" s="172"/>
      <c r="K26" s="171">
        <v>1.5</v>
      </c>
      <c r="L26" s="172"/>
    </row>
    <row r="27" spans="1:12" ht="24.75" customHeight="1">
      <c r="A27" s="175"/>
      <c r="B27" s="123" t="s">
        <v>13</v>
      </c>
      <c r="C27" s="124"/>
      <c r="E27" s="105">
        <v>1</v>
      </c>
      <c r="F27" s="106"/>
      <c r="G27" s="105">
        <v>1</v>
      </c>
      <c r="H27" s="106"/>
      <c r="I27" s="105">
        <v>1</v>
      </c>
      <c r="J27" s="106"/>
      <c r="K27" s="105">
        <v>1</v>
      </c>
      <c r="L27" s="106"/>
    </row>
    <row r="28" spans="1:12" ht="24.75" customHeight="1">
      <c r="A28" s="175"/>
      <c r="B28" s="123" t="s">
        <v>82</v>
      </c>
      <c r="C28" s="124"/>
      <c r="E28" s="105">
        <v>0.5</v>
      </c>
      <c r="F28" s="106"/>
      <c r="G28" s="105">
        <v>0.5</v>
      </c>
      <c r="H28" s="106"/>
      <c r="I28" s="105">
        <v>0.5</v>
      </c>
      <c r="J28" s="106"/>
      <c r="K28" s="105">
        <v>0</v>
      </c>
      <c r="L28" s="106"/>
    </row>
    <row r="29" spans="1:12" ht="24.75" customHeight="1">
      <c r="A29" s="175"/>
      <c r="B29" s="123" t="s">
        <v>69</v>
      </c>
      <c r="C29" s="124"/>
      <c r="E29" s="105">
        <v>0.5</v>
      </c>
      <c r="F29" s="106"/>
      <c r="G29" s="105">
        <v>0.5</v>
      </c>
      <c r="H29" s="106"/>
      <c r="I29" s="105">
        <v>0</v>
      </c>
      <c r="J29" s="106"/>
      <c r="K29" s="105">
        <v>0.5</v>
      </c>
      <c r="L29" s="106"/>
    </row>
    <row r="30" spans="1:12" ht="24.75" customHeight="1">
      <c r="A30" s="175"/>
      <c r="B30" s="123" t="s">
        <v>14</v>
      </c>
      <c r="C30" s="124"/>
      <c r="E30" s="105">
        <v>0</v>
      </c>
      <c r="F30" s="106"/>
      <c r="G30" s="105">
        <v>0</v>
      </c>
      <c r="H30" s="106"/>
      <c r="I30" s="105">
        <v>0</v>
      </c>
      <c r="J30" s="106"/>
      <c r="K30" s="105">
        <v>0</v>
      </c>
      <c r="L30" s="106"/>
    </row>
    <row r="31" spans="1:12" ht="24.75" customHeight="1">
      <c r="A31" s="175"/>
      <c r="B31" s="123" t="s">
        <v>129</v>
      </c>
      <c r="C31" s="124"/>
      <c r="E31" s="105">
        <v>2</v>
      </c>
      <c r="F31" s="106"/>
      <c r="G31" s="105">
        <v>0</v>
      </c>
      <c r="H31" s="106"/>
      <c r="I31" s="105">
        <v>1</v>
      </c>
      <c r="J31" s="106"/>
      <c r="K31" s="105">
        <v>3</v>
      </c>
      <c r="L31" s="106"/>
    </row>
    <row r="32" spans="1:12" ht="24.75" customHeight="1">
      <c r="A32" s="175"/>
      <c r="B32" s="123" t="s">
        <v>15</v>
      </c>
      <c r="C32" s="124"/>
      <c r="E32" s="105">
        <v>0.5</v>
      </c>
      <c r="F32" s="106"/>
      <c r="G32" s="105">
        <v>0.5</v>
      </c>
      <c r="H32" s="106"/>
      <c r="I32" s="105">
        <v>0</v>
      </c>
      <c r="J32" s="106"/>
      <c r="K32" s="105">
        <v>0.5</v>
      </c>
      <c r="L32" s="106"/>
    </row>
    <row r="33" spans="1:12" ht="24.75" customHeight="1">
      <c r="A33" s="175"/>
      <c r="B33" s="129" t="s">
        <v>127</v>
      </c>
      <c r="C33" s="129"/>
      <c r="E33" s="105">
        <f>SUM(E25:F32)</f>
        <v>6.5</v>
      </c>
      <c r="F33" s="106"/>
      <c r="G33" s="105">
        <f>SUM(G25:H32)</f>
        <v>2.9</v>
      </c>
      <c r="H33" s="106"/>
      <c r="I33" s="105">
        <f>SUM(I25:J32)</f>
        <v>3.4</v>
      </c>
      <c r="J33" s="106"/>
      <c r="K33" s="105">
        <f>SUM(K25:L32)</f>
        <v>7</v>
      </c>
      <c r="L33" s="106"/>
    </row>
    <row r="34" spans="1:12" ht="25.5" customHeight="1">
      <c r="A34" s="122"/>
      <c r="B34" s="168" t="s">
        <v>8</v>
      </c>
      <c r="C34" s="173"/>
      <c r="E34" s="139">
        <f>((E33*30)/10)</f>
        <v>19.5</v>
      </c>
      <c r="F34" s="140"/>
      <c r="G34" s="139">
        <f>((G33*30)/10)</f>
        <v>8.7</v>
      </c>
      <c r="H34" s="140"/>
      <c r="I34" s="139">
        <f>((I33*30)/10)</f>
        <v>10.2</v>
      </c>
      <c r="J34" s="140"/>
      <c r="K34" s="139">
        <f>((K33*30)/10)</f>
        <v>21</v>
      </c>
      <c r="L34" s="140"/>
    </row>
    <row r="35" spans="5:12" ht="12.75">
      <c r="E35" s="25"/>
      <c r="F35" s="26"/>
      <c r="G35" s="25"/>
      <c r="H35" s="26"/>
      <c r="I35" s="25"/>
      <c r="J35" s="26"/>
      <c r="K35" s="25"/>
      <c r="L35" s="26"/>
    </row>
    <row r="36" spans="1:12" ht="29.25" customHeight="1">
      <c r="A36" s="127" t="s">
        <v>142</v>
      </c>
      <c r="B36" s="128"/>
      <c r="C36" s="128"/>
      <c r="E36" s="133">
        <f>E34+E24+E22+E15</f>
        <v>72.27761013880507</v>
      </c>
      <c r="F36" s="107"/>
      <c r="G36" s="133">
        <f>G34+G24+G22+G15</f>
        <v>54.96582278481013</v>
      </c>
      <c r="H36" s="107"/>
      <c r="I36" s="133">
        <f>I34+I24+I22+I15</f>
        <v>80.2</v>
      </c>
      <c r="J36" s="107"/>
      <c r="K36" s="133">
        <f>K34+K24+K22+K15</f>
        <v>87.75803402646503</v>
      </c>
      <c r="L36" s="107"/>
    </row>
    <row r="37" spans="1:12" s="18" customFormat="1" ht="12" customHeight="1">
      <c r="A37" s="16"/>
      <c r="B37" s="17"/>
      <c r="C37" s="17"/>
      <c r="E37" s="19"/>
      <c r="F37" s="19"/>
      <c r="G37" s="19"/>
      <c r="H37" s="19"/>
      <c r="I37" s="19"/>
      <c r="J37" s="19"/>
      <c r="K37" s="19"/>
      <c r="L37" s="19"/>
    </row>
    <row r="38" spans="1:12" ht="29.25" customHeight="1">
      <c r="A38" s="127" t="s">
        <v>143</v>
      </c>
      <c r="B38" s="128"/>
      <c r="C38" s="128"/>
      <c r="E38" s="166">
        <f>E34+E24+E22+E16</f>
        <v>76.35563503479376</v>
      </c>
      <c r="F38" s="167"/>
      <c r="G38" s="166">
        <f>G34+G24+G22+G16</f>
        <v>68.7</v>
      </c>
      <c r="H38" s="167"/>
      <c r="I38" s="166">
        <f>I34+I24+I22+I16</f>
        <v>75.9107843137255</v>
      </c>
      <c r="J38" s="167"/>
      <c r="K38" s="166">
        <f>K34+K24+K22+K16</f>
        <v>89.88318009734992</v>
      </c>
      <c r="L38" s="167"/>
    </row>
    <row r="39" ht="13.5" thickBot="1"/>
    <row r="40" spans="1:12" ht="18.75" thickBot="1">
      <c r="A40" s="163" t="s">
        <v>144</v>
      </c>
      <c r="B40" s="164"/>
      <c r="C40" s="165"/>
      <c r="E40" s="119">
        <v>3</v>
      </c>
      <c r="F40" s="119"/>
      <c r="G40" s="119">
        <v>4</v>
      </c>
      <c r="H40" s="119"/>
      <c r="I40" s="119">
        <v>2</v>
      </c>
      <c r="J40" s="119"/>
      <c r="K40" s="119">
        <v>1</v>
      </c>
      <c r="L40" s="119"/>
    </row>
    <row r="41" spans="5:12" ht="13.5" thickBot="1">
      <c r="E41" s="162"/>
      <c r="F41" s="162"/>
      <c r="G41" s="162"/>
      <c r="H41" s="162"/>
      <c r="I41" s="162"/>
      <c r="J41" s="162"/>
      <c r="K41" s="162"/>
      <c r="L41" s="162"/>
    </row>
    <row r="42" spans="1:12" ht="21" thickBot="1">
      <c r="A42" s="163" t="s">
        <v>145</v>
      </c>
      <c r="B42" s="164"/>
      <c r="C42" s="165"/>
      <c r="E42" s="160">
        <v>2</v>
      </c>
      <c r="F42" s="160"/>
      <c r="G42" s="160">
        <v>4</v>
      </c>
      <c r="H42" s="160"/>
      <c r="I42" s="160">
        <v>3</v>
      </c>
      <c r="J42" s="160"/>
      <c r="K42" s="161">
        <v>1</v>
      </c>
      <c r="L42" s="161"/>
    </row>
  </sheetData>
  <mergeCells count="147">
    <mergeCell ref="A25:A34"/>
    <mergeCell ref="B24:C24"/>
    <mergeCell ref="A23:A24"/>
    <mergeCell ref="B27:C27"/>
    <mergeCell ref="B28:C28"/>
    <mergeCell ref="B29:C29"/>
    <mergeCell ref="B30:C30"/>
    <mergeCell ref="B31:C31"/>
    <mergeCell ref="B32:C32"/>
    <mergeCell ref="B22:C22"/>
    <mergeCell ref="A17:A22"/>
    <mergeCell ref="B23:C23"/>
    <mergeCell ref="B19:C19"/>
    <mergeCell ref="B20:C20"/>
    <mergeCell ref="B21:C21"/>
    <mergeCell ref="K16:L16"/>
    <mergeCell ref="K18:L18"/>
    <mergeCell ref="I16:J16"/>
    <mergeCell ref="I18:J18"/>
    <mergeCell ref="E18:F18"/>
    <mergeCell ref="G18:H18"/>
    <mergeCell ref="E21:F21"/>
    <mergeCell ref="K5:L5"/>
    <mergeCell ref="K6:L6"/>
    <mergeCell ref="K12:L12"/>
    <mergeCell ref="K14:L14"/>
    <mergeCell ref="K11:L11"/>
    <mergeCell ref="I21:J21"/>
    <mergeCell ref="I22:J22"/>
    <mergeCell ref="I23:J23"/>
    <mergeCell ref="K25:L25"/>
    <mergeCell ref="K21:L21"/>
    <mergeCell ref="K22:L22"/>
    <mergeCell ref="K23:L23"/>
    <mergeCell ref="I5:J5"/>
    <mergeCell ref="I6:J6"/>
    <mergeCell ref="I12:J12"/>
    <mergeCell ref="I14:J14"/>
    <mergeCell ref="I11:J11"/>
    <mergeCell ref="E12:F12"/>
    <mergeCell ref="G12:H12"/>
    <mergeCell ref="B11:C11"/>
    <mergeCell ref="E11:F11"/>
    <mergeCell ref="G11:H11"/>
    <mergeCell ref="A38:C38"/>
    <mergeCell ref="E25:F25"/>
    <mergeCell ref="G25:H25"/>
    <mergeCell ref="E26:F26"/>
    <mergeCell ref="G26:H26"/>
    <mergeCell ref="B25:C25"/>
    <mergeCell ref="B26:C26"/>
    <mergeCell ref="B33:C33"/>
    <mergeCell ref="B34:C34"/>
    <mergeCell ref="A36:C36"/>
    <mergeCell ref="E14:F14"/>
    <mergeCell ref="G14:H14"/>
    <mergeCell ref="B16:C16"/>
    <mergeCell ref="E16:F16"/>
    <mergeCell ref="G16:H16"/>
    <mergeCell ref="E5:F5"/>
    <mergeCell ref="G5:H5"/>
    <mergeCell ref="E6:F6"/>
    <mergeCell ref="G6:H6"/>
    <mergeCell ref="A8:A16"/>
    <mergeCell ref="B15:C15"/>
    <mergeCell ref="B17:C17"/>
    <mergeCell ref="B18:C18"/>
    <mergeCell ref="B8:C8"/>
    <mergeCell ref="B9:C9"/>
    <mergeCell ref="B10:C10"/>
    <mergeCell ref="B13:C13"/>
    <mergeCell ref="B14:C14"/>
    <mergeCell ref="B12:C12"/>
    <mergeCell ref="E22:F22"/>
    <mergeCell ref="E23:F23"/>
    <mergeCell ref="E24:F24"/>
    <mergeCell ref="G21:H21"/>
    <mergeCell ref="G22:H22"/>
    <mergeCell ref="G23:H23"/>
    <mergeCell ref="G24:H24"/>
    <mergeCell ref="I24:J24"/>
    <mergeCell ref="K24:L24"/>
    <mergeCell ref="E27:F27"/>
    <mergeCell ref="E28:F28"/>
    <mergeCell ref="K27:L27"/>
    <mergeCell ref="K28:L28"/>
    <mergeCell ref="I25:J25"/>
    <mergeCell ref="I26:J26"/>
    <mergeCell ref="K26:L26"/>
    <mergeCell ref="E29:F29"/>
    <mergeCell ref="E30:F30"/>
    <mergeCell ref="E31:F31"/>
    <mergeCell ref="E32:F32"/>
    <mergeCell ref="E33:F33"/>
    <mergeCell ref="E34:F34"/>
    <mergeCell ref="G27:H27"/>
    <mergeCell ref="I27:J27"/>
    <mergeCell ref="G28:H28"/>
    <mergeCell ref="I28:J28"/>
    <mergeCell ref="G29:H29"/>
    <mergeCell ref="I29:J29"/>
    <mergeCell ref="G31:H31"/>
    <mergeCell ref="I31:J31"/>
    <mergeCell ref="K29:L29"/>
    <mergeCell ref="G30:H30"/>
    <mergeCell ref="I30:J30"/>
    <mergeCell ref="K30:L30"/>
    <mergeCell ref="K31:L31"/>
    <mergeCell ref="G32:H32"/>
    <mergeCell ref="I32:J32"/>
    <mergeCell ref="K32:L32"/>
    <mergeCell ref="G33:H33"/>
    <mergeCell ref="I33:J33"/>
    <mergeCell ref="K33:L33"/>
    <mergeCell ref="G34:H34"/>
    <mergeCell ref="I34:J34"/>
    <mergeCell ref="K34:L34"/>
    <mergeCell ref="E20:F20"/>
    <mergeCell ref="G20:H20"/>
    <mergeCell ref="I19:J19"/>
    <mergeCell ref="I20:J20"/>
    <mergeCell ref="E19:F19"/>
    <mergeCell ref="G19:H19"/>
    <mergeCell ref="K19:L19"/>
    <mergeCell ref="K20:L20"/>
    <mergeCell ref="K38:L38"/>
    <mergeCell ref="E38:F38"/>
    <mergeCell ref="G38:H38"/>
    <mergeCell ref="I38:J38"/>
    <mergeCell ref="K36:L36"/>
    <mergeCell ref="E36:F36"/>
    <mergeCell ref="G36:H36"/>
    <mergeCell ref="I36:J36"/>
    <mergeCell ref="A40:C40"/>
    <mergeCell ref="A42:C42"/>
    <mergeCell ref="E40:F40"/>
    <mergeCell ref="E41:F41"/>
    <mergeCell ref="E42:F42"/>
    <mergeCell ref="G42:H42"/>
    <mergeCell ref="I42:J42"/>
    <mergeCell ref="K42:L42"/>
    <mergeCell ref="G40:H40"/>
    <mergeCell ref="I40:J40"/>
    <mergeCell ref="K40:L40"/>
    <mergeCell ref="G41:H41"/>
    <mergeCell ref="I41:J41"/>
    <mergeCell ref="K41:L4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3" r:id="rId1"/>
  <headerFooter alignWithMargins="0">
    <oddHeader>&amp;CClassement DPE Savoie
LOT N°4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4" sqref="C24"/>
    </sheetView>
  </sheetViews>
  <sheetFormatPr defaultColWidth="11.421875" defaultRowHeight="12.75"/>
  <cols>
    <col min="1" max="1" width="9.00390625" style="0" customWidth="1"/>
    <col min="2" max="2" width="22.57421875" style="77" bestFit="1" customWidth="1"/>
    <col min="3" max="3" width="31.8515625" style="77" customWidth="1"/>
    <col min="4" max="4" width="18.140625" style="78" customWidth="1"/>
    <col min="5" max="5" width="20.140625" style="80" customWidth="1"/>
  </cols>
  <sheetData>
    <row r="1" spans="3:5" ht="12.75">
      <c r="C1" s="85" t="s">
        <v>102</v>
      </c>
      <c r="D1" s="82" t="s">
        <v>106</v>
      </c>
      <c r="E1" s="83" t="s">
        <v>107</v>
      </c>
    </row>
    <row r="2" spans="1:5" ht="12.75">
      <c r="A2" s="119" t="s">
        <v>100</v>
      </c>
      <c r="B2" s="119" t="s">
        <v>101</v>
      </c>
      <c r="C2" s="85" t="s">
        <v>111</v>
      </c>
      <c r="D2" s="79">
        <v>3253.12</v>
      </c>
      <c r="E2" s="81">
        <v>1520</v>
      </c>
    </row>
    <row r="3" spans="1:5" ht="12.75">
      <c r="A3" s="119"/>
      <c r="B3" s="119"/>
      <c r="C3" s="85" t="s">
        <v>112</v>
      </c>
      <c r="D3" s="79">
        <v>4143.29084</v>
      </c>
      <c r="E3" s="81">
        <v>2434.70916</v>
      </c>
    </row>
    <row r="4" spans="1:5" ht="12.75">
      <c r="A4" s="3" t="s">
        <v>103</v>
      </c>
      <c r="B4" s="3" t="s">
        <v>108</v>
      </c>
      <c r="C4" s="85" t="s">
        <v>112</v>
      </c>
      <c r="D4" s="79">
        <v>4271.43028</v>
      </c>
      <c r="E4" s="81">
        <v>10678.56972</v>
      </c>
    </row>
    <row r="5" spans="1:5" ht="12.75">
      <c r="A5" s="3" t="s">
        <v>104</v>
      </c>
      <c r="B5" s="3" t="s">
        <v>110</v>
      </c>
      <c r="C5" s="85" t="s">
        <v>113</v>
      </c>
      <c r="D5" s="79">
        <v>7654.4</v>
      </c>
      <c r="E5" s="81">
        <v>11601.2</v>
      </c>
    </row>
    <row r="6" spans="1:5" ht="12.75">
      <c r="A6" s="3" t="s">
        <v>105</v>
      </c>
      <c r="B6" s="3" t="s">
        <v>109</v>
      </c>
      <c r="C6" s="85" t="s">
        <v>114</v>
      </c>
      <c r="D6" s="84">
        <v>0</v>
      </c>
      <c r="E6" s="81">
        <v>0</v>
      </c>
    </row>
    <row r="7" ht="13.5" thickBot="1"/>
    <row r="8" spans="3:5" ht="12.75">
      <c r="C8" s="91" t="s">
        <v>115</v>
      </c>
      <c r="D8" s="87">
        <f>SUM(D2:D7)-D3</f>
        <v>15178.95028</v>
      </c>
      <c r="E8" s="88">
        <f>SUM(E2:E7)-E3</f>
        <v>23799.769720000004</v>
      </c>
    </row>
    <row r="9" spans="3:5" ht="13.5" thickBot="1">
      <c r="C9" s="90"/>
      <c r="D9" s="176">
        <f>SUM(D8:E8)</f>
        <v>38978.72</v>
      </c>
      <c r="E9" s="177"/>
    </row>
    <row r="10" ht="13.5" thickBot="1"/>
    <row r="11" spans="3:5" ht="12.75">
      <c r="C11" s="91" t="s">
        <v>116</v>
      </c>
      <c r="D11" s="87">
        <f>SUM(D2:D7)-D2</f>
        <v>16069.12112</v>
      </c>
      <c r="E11" s="88">
        <f>SUM(E2:E7)-E2</f>
        <v>24714.478880000002</v>
      </c>
    </row>
    <row r="12" spans="3:5" ht="13.5" thickBot="1">
      <c r="C12" s="90"/>
      <c r="D12" s="176">
        <f>SUM(D11:E11)</f>
        <v>40783.600000000006</v>
      </c>
      <c r="E12" s="177"/>
    </row>
    <row r="13" ht="13.5" thickBot="1"/>
    <row r="14" spans="3:4" ht="13.5" thickBot="1">
      <c r="C14" s="86" t="s">
        <v>117</v>
      </c>
      <c r="D14" s="89">
        <v>125000</v>
      </c>
    </row>
  </sheetData>
  <mergeCells count="4">
    <mergeCell ref="A2:A3"/>
    <mergeCell ref="B2:B3"/>
    <mergeCell ref="D9:E9"/>
    <mergeCell ref="D12:E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de Savoie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</dc:creator>
  <cp:keywords/>
  <dc:description/>
  <cp:lastModifiedBy>uds</cp:lastModifiedBy>
  <cp:lastPrinted>2009-09-21T13:20:01Z</cp:lastPrinted>
  <dcterms:created xsi:type="dcterms:W3CDTF">2009-06-29T06:25:58Z</dcterms:created>
  <dcterms:modified xsi:type="dcterms:W3CDTF">2009-09-21T15:24:23Z</dcterms:modified>
  <cp:category/>
  <cp:version/>
  <cp:contentType/>
  <cp:contentStatus/>
</cp:coreProperties>
</file>